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010" activeTab="8"/>
  </bookViews>
  <sheets>
    <sheet name="Teams" sheetId="1" r:id="rId1"/>
    <sheet name="DummyStandings" sheetId="2" state="hidden" r:id="rId2"/>
    <sheet name="Standings" sheetId="3" r:id="rId3"/>
    <sheet name="Results" sheetId="4" r:id="rId4"/>
    <sheet name="Seeding" sheetId="5" state="hidden" r:id="rId5"/>
    <sheet name="AltSeeding" sheetId="6" r:id="rId6"/>
    <sheet name="Playoffs" sheetId="7" state="hidden" r:id="rId7"/>
    <sheet name="AltPlayoffs" sheetId="8" state="hidden" r:id="rId8"/>
    <sheet name="OSNPlayoffs" sheetId="9" r:id="rId9"/>
    <sheet name="RankPoints" sheetId="10" state="hidden" r:id="rId10"/>
  </sheets>
  <externalReferences>
    <externalReference r:id="rId13"/>
  </externalReferences>
  <definedNames/>
  <calcPr calcMode="manual" fullCalcOnLoad="1"/>
</workbook>
</file>

<file path=xl/sharedStrings.xml><?xml version="1.0" encoding="utf-8"?>
<sst xmlns="http://schemas.openxmlformats.org/spreadsheetml/2006/main" count="1153" uniqueCount="292">
  <si>
    <t>ALL GAMES</t>
  </si>
  <si>
    <t>P</t>
  </si>
  <si>
    <t>W</t>
  </si>
  <si>
    <t>L</t>
  </si>
  <si>
    <t>F</t>
  </si>
  <si>
    <t>A</t>
  </si>
  <si>
    <t>AWAY</t>
  </si>
  <si>
    <t>HOME</t>
  </si>
  <si>
    <t>PD</t>
  </si>
  <si>
    <t>Team</t>
  </si>
  <si>
    <t>No</t>
  </si>
  <si>
    <t>Home Stadium</t>
  </si>
  <si>
    <t>Team Name</t>
  </si>
  <si>
    <t>Week</t>
  </si>
  <si>
    <t>Home</t>
  </si>
  <si>
    <t>Score</t>
  </si>
  <si>
    <t>Away</t>
  </si>
  <si>
    <t>Venue</t>
  </si>
  <si>
    <t>Conference</t>
  </si>
  <si>
    <t>University of Alzburg-Dyka</t>
  </si>
  <si>
    <t>Ramusok Capital University</t>
  </si>
  <si>
    <t>Stoneshore College</t>
  </si>
  <si>
    <t>Horizon</t>
  </si>
  <si>
    <t>Sequoia</t>
  </si>
  <si>
    <t>Woodlands</t>
  </si>
  <si>
    <t>Big Eight</t>
  </si>
  <si>
    <t>Bugny Stadium</t>
  </si>
  <si>
    <t>Wins</t>
  </si>
  <si>
    <t>PF</t>
  </si>
  <si>
    <t>Away PF</t>
  </si>
  <si>
    <t>CRnk</t>
  </si>
  <si>
    <t>OVERALL</t>
  </si>
  <si>
    <t>George Litchko Stadium</t>
  </si>
  <si>
    <t>Walker Field</t>
  </si>
  <si>
    <t>Capital Coliseum</t>
  </si>
  <si>
    <t>St John's Castle</t>
  </si>
  <si>
    <t>Head to Head Comparisons</t>
  </si>
  <si>
    <t>Abbrev.</t>
  </si>
  <si>
    <t>BUGN</t>
  </si>
  <si>
    <t>EIRK</t>
  </si>
  <si>
    <t>BOTR</t>
  </si>
  <si>
    <t>PENN</t>
  </si>
  <si>
    <t>ARKN</t>
  </si>
  <si>
    <t>UTCA</t>
  </si>
  <si>
    <t>FHST</t>
  </si>
  <si>
    <t>STJN</t>
  </si>
  <si>
    <t>ALZD</t>
  </si>
  <si>
    <t>COLD</t>
  </si>
  <si>
    <t>RCU</t>
  </si>
  <si>
    <t>STON</t>
  </si>
  <si>
    <t>Index</t>
  </si>
  <si>
    <t>FinalTB</t>
  </si>
  <si>
    <t>FinalTB is the final tiebreaker in case everything else is equal.</t>
  </si>
  <si>
    <t>T</t>
  </si>
  <si>
    <t>H2H PD</t>
  </si>
  <si>
    <t>H2H TB1</t>
  </si>
  <si>
    <t>H2H TB2</t>
  </si>
  <si>
    <t>Final TB</t>
  </si>
  <si>
    <t>Complete?</t>
  </si>
  <si>
    <t>Diff</t>
  </si>
  <si>
    <t>1-2-X</t>
  </si>
  <si>
    <t>Winner</t>
  </si>
  <si>
    <t>Final</t>
  </si>
  <si>
    <t>HomeRef</t>
  </si>
  <si>
    <t>AwayRef</t>
  </si>
  <si>
    <t>HomePts</t>
  </si>
  <si>
    <t>AwayPts</t>
  </si>
  <si>
    <t>S1</t>
  </si>
  <si>
    <t>S2</t>
  </si>
  <si>
    <t>E1</t>
  </si>
  <si>
    <t>E2</t>
  </si>
  <si>
    <t>D1</t>
  </si>
  <si>
    <t>D2</t>
  </si>
  <si>
    <t>F Factor</t>
  </si>
  <si>
    <t>K Factor</t>
  </si>
  <si>
    <t>Mineral</t>
  </si>
  <si>
    <t>Scott City University</t>
  </si>
  <si>
    <t>Saugeais State University</t>
  </si>
  <si>
    <t>Frbiba State University</t>
  </si>
  <si>
    <t>Riversburg-Madison University</t>
  </si>
  <si>
    <t>Oklahoma City State University</t>
  </si>
  <si>
    <t>MION</t>
  </si>
  <si>
    <t>MAIS</t>
  </si>
  <si>
    <t>SCTT</t>
  </si>
  <si>
    <t>BRIG</t>
  </si>
  <si>
    <t>SAUG</t>
  </si>
  <si>
    <t>TGUT</t>
  </si>
  <si>
    <t>MCMA</t>
  </si>
  <si>
    <t>MNCH</t>
  </si>
  <si>
    <t>FRBB</t>
  </si>
  <si>
    <t>RVMD</t>
  </si>
  <si>
    <t>THSS</t>
  </si>
  <si>
    <t>SPMA</t>
  </si>
  <si>
    <t>NRDN</t>
  </si>
  <si>
    <t>DAPU</t>
  </si>
  <si>
    <t>UWGT</t>
  </si>
  <si>
    <t>FREI</t>
  </si>
  <si>
    <t>COPE</t>
  </si>
  <si>
    <t>USCR</t>
  </si>
  <si>
    <t>KAEL</t>
  </si>
  <si>
    <t>UPSL</t>
  </si>
  <si>
    <t>OCSU</t>
  </si>
  <si>
    <t>UJSB</t>
  </si>
  <si>
    <t>ARDN</t>
  </si>
  <si>
    <t>Playoff qualifiers not reaching the Championship game are ranked by playoff round reached, and then regular season record.</t>
  </si>
  <si>
    <t>Bronco Stadium</t>
  </si>
  <si>
    <t>Finglass Field</t>
  </si>
  <si>
    <t>Red Plains Stadium</t>
  </si>
  <si>
    <t>Welcome City Stadium</t>
  </si>
  <si>
    <t>University of Arkinesia</t>
  </si>
  <si>
    <t>University of Utica</t>
  </si>
  <si>
    <t>Northern Dinagat State University</t>
  </si>
  <si>
    <t>Fair Haven State University</t>
  </si>
  <si>
    <t>Href</t>
  </si>
  <si>
    <t>Aref</t>
  </si>
  <si>
    <t>K Factor and F Factor are used purely for calculation formulae for OSN's all-time ranking list.</t>
  </si>
  <si>
    <t>For this season, the returning teams are ranked in order of finish last season, everyone else is ranked alphabetically.</t>
  </si>
  <si>
    <t>Alex Util College</t>
  </si>
  <si>
    <t>ALUT</t>
  </si>
  <si>
    <t>Netteingen Tech</t>
  </si>
  <si>
    <t>NETT</t>
  </si>
  <si>
    <t>Caroga University</t>
  </si>
  <si>
    <t>CRGA</t>
  </si>
  <si>
    <t>TIMC</t>
  </si>
  <si>
    <t>Tim City University</t>
  </si>
  <si>
    <t>University of Jagoza</t>
  </si>
  <si>
    <t>JGZA</t>
  </si>
  <si>
    <t>Bucktown University</t>
  </si>
  <si>
    <t>BUCK</t>
  </si>
  <si>
    <t>ARLN</t>
  </si>
  <si>
    <t>INDN</t>
  </si>
  <si>
    <t>RELK</t>
  </si>
  <si>
    <t>USPN</t>
  </si>
  <si>
    <t>RICH</t>
  </si>
  <si>
    <t>OLYM</t>
  </si>
  <si>
    <t>WALT</t>
  </si>
  <si>
    <t>RSTU</t>
  </si>
  <si>
    <t>NOBL</t>
  </si>
  <si>
    <t>EKIL</t>
  </si>
  <si>
    <t>BLUE</t>
  </si>
  <si>
    <t>WAA</t>
  </si>
  <si>
    <t>TOUF</t>
  </si>
  <si>
    <t>WIEN</t>
  </si>
  <si>
    <t>NationStates College Football Season Four</t>
  </si>
  <si>
    <t>Arlnet University</t>
  </si>
  <si>
    <t>Indana University</t>
  </si>
  <si>
    <t>West Siena Institute of Technology</t>
  </si>
  <si>
    <t>WSIT</t>
  </si>
  <si>
    <t>Relkul Setta State University</t>
  </si>
  <si>
    <t>University of Spitfyred - North</t>
  </si>
  <si>
    <t>University of Richardsburg</t>
  </si>
  <si>
    <t>University of Olympia</t>
  </si>
  <si>
    <t>Walterton University</t>
  </si>
  <si>
    <t>Red State University</t>
  </si>
  <si>
    <t>University of Nobelius</t>
  </si>
  <si>
    <t>East Kilbride University</t>
  </si>
  <si>
    <t>Blue University</t>
  </si>
  <si>
    <t>University of Weinersnitzel</t>
  </si>
  <si>
    <t>Touffer University</t>
  </si>
  <si>
    <t>Nickname</t>
  </si>
  <si>
    <t>Nation</t>
  </si>
  <si>
    <t>Tigers</t>
  </si>
  <si>
    <t>Firebirds</t>
  </si>
  <si>
    <t>Ducks</t>
  </si>
  <si>
    <t>Wyverns</t>
  </si>
  <si>
    <t>Royals</t>
  </si>
  <si>
    <t>Dragons</t>
  </si>
  <si>
    <t>Cardinals</t>
  </si>
  <si>
    <t>Eagles</t>
  </si>
  <si>
    <t>Panthers</t>
  </si>
  <si>
    <t>Bruins</t>
  </si>
  <si>
    <t>Bears</t>
  </si>
  <si>
    <t>Bear Stadium</t>
  </si>
  <si>
    <t>Darmen</t>
  </si>
  <si>
    <t>Cosumar</t>
  </si>
  <si>
    <t>Lycrabon</t>
  </si>
  <si>
    <t>Carasatoga</t>
  </si>
  <si>
    <t>Saugeais</t>
  </si>
  <si>
    <t>Silver Beach</t>
  </si>
  <si>
    <t>Osarius</t>
  </si>
  <si>
    <t>Michael VII</t>
  </si>
  <si>
    <t>Khabarovsk Krai</t>
  </si>
  <si>
    <t>Arkinesia</t>
  </si>
  <si>
    <t>Mytannion</t>
  </si>
  <si>
    <t>Mangolana</t>
  </si>
  <si>
    <t>Arcatea</t>
  </si>
  <si>
    <t>Alfabetostuk</t>
  </si>
  <si>
    <t>NewLakotah</t>
  </si>
  <si>
    <t>Tekcirb</t>
  </si>
  <si>
    <t>Civil Citizenry</t>
  </si>
  <si>
    <t>Tonarius</t>
  </si>
  <si>
    <t>Wolfmanne</t>
  </si>
  <si>
    <t>Wesstonia</t>
  </si>
  <si>
    <t>Spitfyred1</t>
  </si>
  <si>
    <t>Iphmopf</t>
  </si>
  <si>
    <t>Thatius</t>
  </si>
  <si>
    <t>Boriem</t>
  </si>
  <si>
    <t>Coyotes</t>
  </si>
  <si>
    <t>Dolphins</t>
  </si>
  <si>
    <t>Lancers</t>
  </si>
  <si>
    <t>Warriors</t>
  </si>
  <si>
    <t>Indana Municipal Field</t>
  </si>
  <si>
    <t>P. K. Morgan &amp; Sons Field</t>
  </si>
  <si>
    <t>Cradence Stadium</t>
  </si>
  <si>
    <t>Orange Bowl</t>
  </si>
  <si>
    <t>Montbenoit Dome</t>
  </si>
  <si>
    <t>Gladiators</t>
  </si>
  <si>
    <t>Bryan-Hall Stadium</t>
  </si>
  <si>
    <t>Broncos</t>
  </si>
  <si>
    <t>National Stadium</t>
  </si>
  <si>
    <t>Martin Connors Memorial Field</t>
  </si>
  <si>
    <t>Groundhogs</t>
  </si>
  <si>
    <t>Groundhog Field</t>
  </si>
  <si>
    <t>Anatidae Field</t>
  </si>
  <si>
    <t>Parah Dome</t>
  </si>
  <si>
    <t>Hyenas</t>
  </si>
  <si>
    <t>Cogs</t>
  </si>
  <si>
    <t>The Field of Industry</t>
  </si>
  <si>
    <t>Revolutionaries</t>
  </si>
  <si>
    <t>Rimben Park</t>
  </si>
  <si>
    <t>Knights</t>
  </si>
  <si>
    <t>Roger Jalston Memorial Stadium</t>
  </si>
  <si>
    <t>Olympic Stadiums</t>
  </si>
  <si>
    <t>Rhinos</t>
  </si>
  <si>
    <t>Llamas</t>
  </si>
  <si>
    <t>Trent Community Park</t>
  </si>
  <si>
    <t>Buffalo</t>
  </si>
  <si>
    <t>Cheikanwa Stadium</t>
  </si>
  <si>
    <t>Nobel Stadium</t>
  </si>
  <si>
    <t>Bulls</t>
  </si>
  <si>
    <t>Brids</t>
  </si>
  <si>
    <t>East Kilbride Area</t>
  </si>
  <si>
    <t>Homelands our</t>
  </si>
  <si>
    <t>The unified Blue Isles</t>
  </si>
  <si>
    <t>Luis Cod Memorial Stadium</t>
  </si>
  <si>
    <t>Whalers</t>
  </si>
  <si>
    <t>Skyhawks</t>
  </si>
  <si>
    <t>Saunders Klijde Stadium</t>
  </si>
  <si>
    <t>The Unified City-States</t>
  </si>
  <si>
    <t>Badger Stadium</t>
  </si>
  <si>
    <t>Badgers</t>
  </si>
  <si>
    <t>Wizards</t>
  </si>
  <si>
    <t>The Brown House</t>
  </si>
  <si>
    <t>Blue Jays</t>
  </si>
  <si>
    <t>Glenn Memorial Stadium</t>
  </si>
  <si>
    <t>Bobcats</t>
  </si>
  <si>
    <t>Tiegemburg Park</t>
  </si>
  <si>
    <t>Bearcats</t>
  </si>
  <si>
    <t>Colden University</t>
  </si>
  <si>
    <t>Dorrel Stadium</t>
  </si>
  <si>
    <t>Churchma</t>
  </si>
  <si>
    <t>Harloop University</t>
  </si>
  <si>
    <t>Fire</t>
  </si>
  <si>
    <t>New West Guiana</t>
  </si>
  <si>
    <t>Hawks</t>
  </si>
  <si>
    <t>Hudson College</t>
  </si>
  <si>
    <t>The Hawks Nest</t>
  </si>
  <si>
    <t>Howdeellow</t>
  </si>
  <si>
    <t>HUDS</t>
  </si>
  <si>
    <t>The Nest of Fire</t>
  </si>
  <si>
    <t>HRLP</t>
  </si>
  <si>
    <t>ACSP</t>
  </si>
  <si>
    <t>Space</t>
  </si>
  <si>
    <t>Extraterrestrial Dome of Sport</t>
  </si>
  <si>
    <t>Astronauts</t>
  </si>
  <si>
    <t>The Academy of Space</t>
  </si>
  <si>
    <t>University of Port Salem</t>
  </si>
  <si>
    <t>Anchors</t>
  </si>
  <si>
    <t>ATD Park</t>
  </si>
  <si>
    <t>University of St. John's Island</t>
  </si>
  <si>
    <t>Bugny A&amp;M University</t>
  </si>
  <si>
    <t>Wijlik Aviation Academy</t>
  </si>
  <si>
    <t>Playoffs</t>
  </si>
  <si>
    <t>Q/Finals</t>
  </si>
  <si>
    <t>S/Finals</t>
  </si>
  <si>
    <t>H2H W</t>
  </si>
  <si>
    <t>WP Calc</t>
  </si>
  <si>
    <t>SOS Calc</t>
  </si>
  <si>
    <t>OR Calc</t>
  </si>
  <si>
    <t>WP</t>
  </si>
  <si>
    <t>SOS</t>
  </si>
  <si>
    <t>Alt Rank</t>
  </si>
  <si>
    <t>Rank Diff</t>
  </si>
  <si>
    <t>Seeding without H2H record</t>
  </si>
  <si>
    <t>No H2H</t>
  </si>
  <si>
    <t>Seed v2</t>
  </si>
  <si>
    <t>NSCF Championship Game</t>
  </si>
  <si>
    <t>@ TBA</t>
  </si>
  <si>
    <t>NSCF 4 Champions</t>
  </si>
  <si>
    <t>Seeding by OSN's RPI derivative</t>
  </si>
  <si>
    <t>Harloop National</t>
  </si>
  <si>
    <t>@ Harloop National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</si>
</sst>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inden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4" borderId="13" xfId="0" applyNumberFormat="1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49" fontId="0" fillId="3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49" fontId="0" fillId="0" borderId="17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3" borderId="0" xfId="0" applyFill="1" applyAlignment="1">
      <alignment/>
    </xf>
    <xf numFmtId="0" fontId="0" fillId="3" borderId="0" xfId="0" applyFill="1" applyAlignment="1" applyProtection="1">
      <alignment horizontal="right" indent="1"/>
      <protection hidden="1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left" indent="1"/>
      <protection hidden="1"/>
    </xf>
    <xf numFmtId="49" fontId="0" fillId="3" borderId="0" xfId="0" applyNumberFormat="1" applyFill="1" applyAlignment="1" applyProtection="1">
      <alignment horizontal="center"/>
      <protection hidden="1"/>
    </xf>
    <xf numFmtId="0" fontId="0" fillId="3" borderId="13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3" borderId="3" xfId="0" applyFill="1" applyBorder="1" applyAlignment="1">
      <alignment horizontal="center" textRotation="90"/>
    </xf>
    <xf numFmtId="0" fontId="0" fillId="5" borderId="13" xfId="0" applyFill="1" applyBorder="1" applyAlignment="1">
      <alignment horizontal="center" textRotation="90"/>
    </xf>
    <xf numFmtId="0" fontId="0" fillId="5" borderId="1" xfId="0" applyFill="1" applyBorder="1" applyAlignment="1">
      <alignment horizontal="center" textRotation="90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 textRotation="90"/>
    </xf>
    <xf numFmtId="0" fontId="0" fillId="5" borderId="3" xfId="0" applyFill="1" applyBorder="1" applyAlignment="1">
      <alignment horizontal="center" textRotation="90"/>
    </xf>
    <xf numFmtId="0" fontId="0" fillId="5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center" textRotation="90"/>
    </xf>
    <xf numFmtId="0" fontId="0" fillId="3" borderId="2" xfId="0" applyFill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left" vertical="center"/>
      <protection hidden="1"/>
    </xf>
    <xf numFmtId="0" fontId="4" fillId="3" borderId="14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49" fontId="0" fillId="4" borderId="0" xfId="0" applyNumberFormat="1" applyFill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 applyProtection="1">
      <alignment horizontal="left" vertical="center" indent="1"/>
      <protection locked="0"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4" fillId="7" borderId="4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168" fontId="0" fillId="0" borderId="16" xfId="0" applyNumberFormat="1" applyBorder="1" applyAlignment="1" applyProtection="1">
      <alignment horizontal="center" vertical="center"/>
      <protection hidden="1"/>
    </xf>
    <xf numFmtId="168" fontId="0" fillId="0" borderId="40" xfId="0" applyNumberForma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168" fontId="0" fillId="0" borderId="17" xfId="0" applyNumberFormat="1" applyBorder="1" applyAlignment="1" applyProtection="1">
      <alignment horizontal="center" vertical="center"/>
      <protection hidden="1"/>
    </xf>
    <xf numFmtId="168" fontId="0" fillId="0" borderId="4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3" borderId="13" xfId="0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left" vertical="center"/>
      <protection hidden="1"/>
    </xf>
    <xf numFmtId="49" fontId="0" fillId="4" borderId="30" xfId="0" applyNumberFormat="1" applyFill="1" applyBorder="1" applyAlignment="1" applyProtection="1">
      <alignment horizontal="center" vertical="center"/>
      <protection hidden="1"/>
    </xf>
    <xf numFmtId="0" fontId="0" fillId="3" borderId="14" xfId="0" applyNumberFormat="1" applyFill="1" applyBorder="1" applyAlignment="1" applyProtection="1">
      <alignment horizontal="center" vertical="center"/>
      <protection hidden="1"/>
    </xf>
    <xf numFmtId="49" fontId="0" fillId="4" borderId="14" xfId="0" applyNumberFormat="1" applyFill="1" applyBorder="1" applyAlignment="1" applyProtection="1">
      <alignment horizontal="center" vertical="center"/>
      <protection hidden="1"/>
    </xf>
    <xf numFmtId="0" fontId="0" fillId="3" borderId="4" xfId="0" applyNumberFormat="1" applyFill="1" applyBorder="1" applyAlignment="1" applyProtection="1">
      <alignment horizontal="center" vertical="center"/>
      <protection hidden="1"/>
    </xf>
    <xf numFmtId="0" fontId="0" fillId="3" borderId="2" xfId="0" applyNumberForma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right" indent="1"/>
      <protection hidden="1"/>
    </xf>
    <xf numFmtId="0" fontId="0" fillId="3" borderId="46" xfId="0" applyFill="1" applyBorder="1" applyAlignment="1" applyProtection="1">
      <alignment horizontal="right" indent="1"/>
      <protection hidden="1"/>
    </xf>
    <xf numFmtId="0" fontId="0" fillId="0" borderId="45" xfId="0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left" indent="1"/>
      <protection hidden="1"/>
    </xf>
    <xf numFmtId="0" fontId="0" fillId="3" borderId="46" xfId="0" applyFill="1" applyBorder="1" applyAlignment="1" applyProtection="1">
      <alignment horizontal="left" indent="1"/>
      <protection hidden="1"/>
    </xf>
    <xf numFmtId="0" fontId="0" fillId="3" borderId="45" xfId="0" applyFill="1" applyBorder="1" applyAlignment="1" applyProtection="1">
      <alignment horizontal="center" vertical="center"/>
      <protection hidden="1"/>
    </xf>
    <xf numFmtId="0" fontId="0" fillId="3" borderId="46" xfId="0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0" fontId="0" fillId="8" borderId="25" xfId="0" applyFill="1" applyBorder="1" applyAlignment="1" applyProtection="1">
      <alignment horizontal="center"/>
      <protection hidden="1"/>
    </xf>
    <xf numFmtId="0" fontId="0" fillId="6" borderId="47" xfId="0" applyFill="1" applyBorder="1" applyAlignment="1" applyProtection="1">
      <alignment horizontal="center"/>
      <protection hidden="1"/>
    </xf>
    <xf numFmtId="0" fontId="0" fillId="6" borderId="48" xfId="0" applyFill="1" applyBorder="1" applyAlignment="1" applyProtection="1">
      <alignment horizontal="center"/>
      <protection hidden="1"/>
    </xf>
    <xf numFmtId="0" fontId="0" fillId="6" borderId="42" xfId="0" applyFill="1" applyBorder="1" applyAlignment="1" applyProtection="1">
      <alignment horizontal="center"/>
      <protection hidden="1"/>
    </xf>
    <xf numFmtId="0" fontId="0" fillId="8" borderId="42" xfId="0" applyFill="1" applyBorder="1" applyAlignment="1" applyProtection="1">
      <alignment horizontal="center"/>
      <protection hidden="1"/>
    </xf>
    <xf numFmtId="0" fontId="0" fillId="6" borderId="43" xfId="0" applyFill="1" applyBorder="1" applyAlignment="1" applyProtection="1">
      <alignment horizontal="center"/>
      <protection hidden="1"/>
    </xf>
    <xf numFmtId="0" fontId="0" fillId="6" borderId="45" xfId="0" applyFill="1" applyBorder="1" applyAlignment="1" applyProtection="1">
      <alignment horizontal="center"/>
      <protection hidden="1"/>
    </xf>
    <xf numFmtId="0" fontId="0" fillId="8" borderId="45" xfId="0" applyFill="1" applyBorder="1" applyAlignment="1" applyProtection="1">
      <alignment horizontal="center"/>
      <protection hidden="1"/>
    </xf>
    <xf numFmtId="0" fontId="0" fillId="9" borderId="12" xfId="0" applyFill="1" applyBorder="1" applyAlignment="1" applyProtection="1">
      <alignment horizontal="center"/>
      <protection hidden="1"/>
    </xf>
    <xf numFmtId="0" fontId="0" fillId="9" borderId="19" xfId="0" applyFill="1" applyBorder="1" applyAlignment="1" applyProtection="1">
      <alignment horizontal="center"/>
      <protection hidden="1"/>
    </xf>
    <xf numFmtId="0" fontId="0" fillId="7" borderId="48" xfId="0" applyFill="1" applyBorder="1" applyAlignment="1" applyProtection="1">
      <alignment horizontal="center"/>
      <protection hidden="1"/>
    </xf>
    <xf numFmtId="0" fontId="0" fillId="7" borderId="43" xfId="0" applyFill="1" applyBorder="1" applyAlignment="1" applyProtection="1">
      <alignment horizontal="center"/>
      <protection hidden="1"/>
    </xf>
    <xf numFmtId="0" fontId="0" fillId="8" borderId="48" xfId="0" applyFill="1" applyBorder="1" applyAlignment="1" applyProtection="1">
      <alignment horizontal="center"/>
      <protection hidden="1"/>
    </xf>
    <xf numFmtId="0" fontId="0" fillId="8" borderId="43" xfId="0" applyFill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0" fillId="8" borderId="49" xfId="0" applyFill="1" applyBorder="1" applyAlignment="1" applyProtection="1">
      <alignment horizontal="center"/>
      <protection hidden="1"/>
    </xf>
    <xf numFmtId="0" fontId="0" fillId="8" borderId="46" xfId="0" applyFill="1" applyBorder="1" applyAlignment="1" applyProtection="1">
      <alignment horizontal="center"/>
      <protection hidden="1"/>
    </xf>
    <xf numFmtId="0" fontId="0" fillId="7" borderId="49" xfId="0" applyFill="1" applyBorder="1" applyAlignment="1" applyProtection="1">
      <alignment horizontal="center"/>
      <protection hidden="1"/>
    </xf>
    <xf numFmtId="0" fontId="0" fillId="7" borderId="46" xfId="0" applyFill="1" applyBorder="1" applyAlignment="1" applyProtection="1">
      <alignment horizontal="center"/>
      <protection hidden="1"/>
    </xf>
    <xf numFmtId="0" fontId="0" fillId="7" borderId="47" xfId="0" applyFill="1" applyBorder="1" applyAlignment="1" applyProtection="1">
      <alignment horizontal="center"/>
      <protection hidden="1"/>
    </xf>
    <xf numFmtId="0" fontId="0" fillId="7" borderId="28" xfId="0" applyFill="1" applyBorder="1" applyAlignment="1" applyProtection="1">
      <alignment horizontal="center"/>
      <protection hidden="1"/>
    </xf>
    <xf numFmtId="0" fontId="0" fillId="8" borderId="47" xfId="0" applyFill="1" applyBorder="1" applyAlignment="1" applyProtection="1">
      <alignment horizontal="center"/>
      <protection hidden="1"/>
    </xf>
    <xf numFmtId="0" fontId="0" fillId="8" borderId="28" xfId="0" applyFill="1" applyBorder="1" applyAlignment="1" applyProtection="1">
      <alignment horizontal="center"/>
      <protection hidden="1"/>
    </xf>
    <xf numFmtId="0" fontId="0" fillId="3" borderId="30" xfId="0" applyNumberFormat="1" applyFill="1" applyBorder="1" applyAlignment="1" applyProtection="1">
      <alignment horizontal="center" vertical="center"/>
      <protection hidden="1"/>
    </xf>
    <xf numFmtId="0" fontId="0" fillId="3" borderId="20" xfId="0" applyNumberForma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horizontal="left" vertical="center"/>
      <protection hidden="1"/>
    </xf>
    <xf numFmtId="0" fontId="0" fillId="3" borderId="3" xfId="0" applyFill="1" applyBorder="1" applyAlignment="1" applyProtection="1">
      <alignment horizontal="left" vertical="center"/>
      <protection hidden="1"/>
    </xf>
    <xf numFmtId="0" fontId="0" fillId="3" borderId="5" xfId="0" applyNumberForma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right" vertical="center" indent="1"/>
      <protection hidden="1"/>
    </xf>
    <xf numFmtId="0" fontId="0" fillId="0" borderId="45" xfId="0" applyBorder="1" applyAlignment="1" applyProtection="1">
      <alignment horizontal="right" vertical="center" indent="1"/>
      <protection hidden="1"/>
    </xf>
    <xf numFmtId="0" fontId="0" fillId="0" borderId="39" xfId="0" applyBorder="1" applyAlignment="1" applyProtection="1">
      <alignment horizontal="right" vertical="center" indent="1"/>
      <protection hidden="1"/>
    </xf>
    <xf numFmtId="0" fontId="0" fillId="3" borderId="45" xfId="0" applyFill="1" applyBorder="1" applyAlignment="1" applyProtection="1">
      <alignment horizontal="right" vertical="center" indent="1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left" vertical="center" indent="1"/>
      <protection hidden="1"/>
    </xf>
    <xf numFmtId="0" fontId="0" fillId="0" borderId="45" xfId="0" applyBorder="1" applyAlignment="1" applyProtection="1">
      <alignment horizontal="left" vertical="center" indent="1"/>
      <protection hidden="1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3" borderId="45" xfId="0" applyFill="1" applyBorder="1" applyAlignment="1" applyProtection="1">
      <alignment horizontal="left" vertical="center" indent="1"/>
      <protection hidden="1"/>
    </xf>
    <xf numFmtId="0" fontId="0" fillId="6" borderId="43" xfId="0" applyFill="1" applyBorder="1" applyAlignment="1" applyProtection="1">
      <alignment horizontal="right" indent="1"/>
      <protection locked="0"/>
    </xf>
    <xf numFmtId="0" fontId="0" fillId="6" borderId="44" xfId="0" applyFill="1" applyBorder="1" applyAlignment="1" applyProtection="1">
      <alignment horizontal="center"/>
      <protection locked="0"/>
    </xf>
    <xf numFmtId="0" fontId="0" fillId="6" borderId="50" xfId="0" applyFill="1" applyBorder="1" applyAlignment="1" applyProtection="1">
      <alignment horizontal="center"/>
      <protection locked="0"/>
    </xf>
    <xf numFmtId="0" fontId="0" fillId="6" borderId="51" xfId="0" applyFill="1" applyBorder="1" applyAlignment="1" applyProtection="1">
      <alignment horizontal="left" indent="1"/>
      <protection locked="0"/>
    </xf>
    <xf numFmtId="0" fontId="0" fillId="6" borderId="45" xfId="0" applyFill="1" applyBorder="1" applyAlignment="1" applyProtection="1">
      <alignment horizontal="right" indent="1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left" indent="1"/>
      <protection locked="0"/>
    </xf>
    <xf numFmtId="0" fontId="0" fillId="6" borderId="46" xfId="0" applyFill="1" applyBorder="1" applyAlignment="1" applyProtection="1">
      <alignment horizontal="right" indent="1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0" fillId="6" borderId="52" xfId="0" applyFill="1" applyBorder="1" applyAlignment="1" applyProtection="1">
      <alignment horizontal="left" indent="1"/>
      <protection locked="0"/>
    </xf>
    <xf numFmtId="0" fontId="0" fillId="8" borderId="43" xfId="0" applyFill="1" applyBorder="1" applyAlignment="1" applyProtection="1">
      <alignment horizontal="right" indent="1"/>
      <protection locked="0"/>
    </xf>
    <xf numFmtId="0" fontId="0" fillId="8" borderId="44" xfId="0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  <protection locked="0"/>
    </xf>
    <xf numFmtId="0" fontId="0" fillId="8" borderId="51" xfId="0" applyFill="1" applyBorder="1" applyAlignment="1" applyProtection="1">
      <alignment horizontal="left" indent="1"/>
      <protection locked="0"/>
    </xf>
    <xf numFmtId="0" fontId="0" fillId="8" borderId="45" xfId="0" applyFill="1" applyBorder="1" applyAlignment="1" applyProtection="1">
      <alignment horizontal="right" indent="1"/>
      <protection locked="0"/>
    </xf>
    <xf numFmtId="0" fontId="0" fillId="8" borderId="33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41" xfId="0" applyFill="1" applyBorder="1" applyAlignment="1" applyProtection="1">
      <alignment horizontal="left" indent="1"/>
      <protection locked="0"/>
    </xf>
    <xf numFmtId="0" fontId="0" fillId="8" borderId="46" xfId="0" applyFill="1" applyBorder="1" applyAlignment="1" applyProtection="1">
      <alignment horizontal="right" indent="1"/>
      <protection locked="0"/>
    </xf>
    <xf numFmtId="0" fontId="0" fillId="8" borderId="34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52" xfId="0" applyFill="1" applyBorder="1" applyAlignment="1" applyProtection="1">
      <alignment horizontal="left" indent="1"/>
      <protection locked="0"/>
    </xf>
    <xf numFmtId="0" fontId="0" fillId="7" borderId="43" xfId="0" applyFill="1" applyBorder="1" applyAlignment="1" applyProtection="1">
      <alignment horizontal="right" indent="1"/>
      <protection locked="0"/>
    </xf>
    <xf numFmtId="0" fontId="0" fillId="7" borderId="44" xfId="0" applyFill="1" applyBorder="1" applyAlignment="1" applyProtection="1">
      <alignment horizontal="center"/>
      <protection locked="0"/>
    </xf>
    <xf numFmtId="0" fontId="0" fillId="7" borderId="50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left" indent="1"/>
      <protection locked="0"/>
    </xf>
    <xf numFmtId="0" fontId="0" fillId="7" borderId="46" xfId="0" applyFill="1" applyBorder="1" applyAlignment="1" applyProtection="1">
      <alignment horizontal="right" indent="1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52" xfId="0" applyFill="1" applyBorder="1" applyAlignment="1" applyProtection="1">
      <alignment horizontal="left" indent="1"/>
      <protection locked="0"/>
    </xf>
    <xf numFmtId="0" fontId="0" fillId="9" borderId="19" xfId="0" applyFill="1" applyBorder="1" applyAlignment="1" applyProtection="1">
      <alignment horizontal="right" indent="1"/>
      <protection locked="0"/>
    </xf>
    <xf numFmtId="0" fontId="0" fillId="9" borderId="31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left" indent="1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19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168" fontId="0" fillId="3" borderId="14" xfId="0" applyNumberFormat="1" applyFill="1" applyBorder="1" applyAlignment="1" applyProtection="1">
      <alignment horizontal="center" vertical="center"/>
      <protection hidden="1"/>
    </xf>
    <xf numFmtId="168" fontId="0" fillId="3" borderId="7" xfId="0" applyNumberFormat="1" applyFill="1" applyBorder="1" applyAlignment="1" applyProtection="1">
      <alignment horizontal="center" vertical="center"/>
      <protection hidden="1"/>
    </xf>
    <xf numFmtId="168" fontId="0" fillId="3" borderId="30" xfId="0" applyNumberFormat="1" applyFill="1" applyBorder="1" applyAlignment="1" applyProtection="1">
      <alignment horizontal="center" vertical="center"/>
      <protection hidden="1"/>
    </xf>
    <xf numFmtId="168" fontId="0" fillId="3" borderId="6" xfId="0" applyNumberFormat="1" applyFill="1" applyBorder="1" applyAlignment="1" applyProtection="1">
      <alignment horizontal="center" vertical="center"/>
      <protection hidden="1"/>
    </xf>
    <xf numFmtId="168" fontId="0" fillId="3" borderId="3" xfId="0" applyNumberFormat="1" applyFill="1" applyBorder="1" applyAlignment="1" applyProtection="1">
      <alignment horizontal="center" vertical="center"/>
      <protection hidden="1"/>
    </xf>
    <xf numFmtId="168" fontId="0" fillId="3" borderId="20" xfId="0" applyNumberFormat="1" applyFill="1" applyBorder="1" applyAlignment="1" applyProtection="1">
      <alignment horizontal="center" vertical="center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center"/>
    </xf>
    <xf numFmtId="0" fontId="0" fillId="3" borderId="53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54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 applyProtection="1">
      <alignment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7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5" borderId="30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0" fillId="0" borderId="19" xfId="0" applyBorder="1" applyAlignment="1" applyProtection="1">
      <alignment horizontal="center" vertical="center"/>
      <protection hidden="1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2" borderId="51" xfId="0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49" fontId="0" fillId="0" borderId="7" xfId="0" applyNumberFormat="1" applyBorder="1" applyAlignment="1" applyProtection="1">
      <alignment horizontal="center" vertical="center"/>
      <protection hidden="1"/>
    </xf>
    <xf numFmtId="49" fontId="0" fillId="0" borderId="6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55" xfId="0" applyFont="1" applyFill="1" applyBorder="1" applyAlignment="1" applyProtection="1">
      <alignment horizontal="center" vertical="center"/>
      <protection hidden="1"/>
    </xf>
    <xf numFmtId="0" fontId="4" fillId="2" borderId="51" xfId="0" applyFont="1" applyFill="1" applyBorder="1" applyAlignment="1" applyProtection="1">
      <alignment horizontal="center" vertical="center"/>
      <protection hidden="1"/>
    </xf>
    <xf numFmtId="0" fontId="4" fillId="2" borderId="43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 wrapText="1"/>
      <protection hidden="1"/>
    </xf>
    <xf numFmtId="0" fontId="0" fillId="3" borderId="28" xfId="0" applyFill="1" applyBorder="1" applyAlignment="1" applyProtection="1">
      <alignment horizontal="center" vertical="center" wrapText="1"/>
      <protection hidden="1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 quotePrefix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57" xfId="0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 applyProtection="1">
      <alignment horizontal="center" vertical="center"/>
      <protection hidden="1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color auto="1"/>
      </font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CF1_Stan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Dummy Standings"/>
      <sheetName val="Standings"/>
      <sheetName val="Results"/>
      <sheetName val="RankPoints"/>
    </sheetNames>
    <sheetDataSet>
      <sheetData sheetId="0">
        <row r="3">
          <cell r="F3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workbookViewId="0" topLeftCell="A1">
      <selection activeCell="C6" sqref="C6"/>
    </sheetView>
  </sheetViews>
  <sheetFormatPr defaultColWidth="9.140625" defaultRowHeight="12.75"/>
  <cols>
    <col min="1" max="1" width="9.140625" style="59" customWidth="1"/>
    <col min="2" max="2" width="41.421875" style="11" customWidth="1"/>
    <col min="3" max="3" width="16.7109375" style="11" bestFit="1" customWidth="1"/>
    <col min="4" max="4" width="37.28125" style="11" bestFit="1" customWidth="1"/>
    <col min="5" max="5" width="23.7109375" style="11" bestFit="1" customWidth="1"/>
    <col min="6" max="6" width="14.28125" style="11" customWidth="1"/>
    <col min="7" max="7" width="7.8515625" style="15" bestFit="1" customWidth="1"/>
    <col min="8" max="8" width="9.140625" style="11" customWidth="1"/>
    <col min="9" max="18" width="9.140625" style="59" customWidth="1"/>
    <col min="19" max="16384" width="9.140625" style="11" customWidth="1"/>
  </cols>
  <sheetData>
    <row r="1" spans="2:8" ht="7.5" customHeight="1" thickBot="1">
      <c r="B1" s="59"/>
      <c r="C1" s="59"/>
      <c r="D1" s="59"/>
      <c r="E1" s="59"/>
      <c r="F1" s="59"/>
      <c r="G1" s="60"/>
      <c r="H1" s="59"/>
    </row>
    <row r="2" spans="2:8" ht="9.75" customHeight="1" thickBot="1">
      <c r="B2" s="324" t="s">
        <v>143</v>
      </c>
      <c r="C2" s="325"/>
      <c r="D2" s="325"/>
      <c r="E2" s="326"/>
      <c r="F2" s="322" t="s">
        <v>74</v>
      </c>
      <c r="G2" s="323"/>
      <c r="H2" s="102">
        <v>32</v>
      </c>
    </row>
    <row r="3" spans="2:8" ht="9.75" customHeight="1" thickBot="1">
      <c r="B3" s="327"/>
      <c r="C3" s="328"/>
      <c r="D3" s="328"/>
      <c r="E3" s="329"/>
      <c r="F3" s="322" t="s">
        <v>73</v>
      </c>
      <c r="G3" s="323"/>
      <c r="H3" s="103">
        <v>400</v>
      </c>
    </row>
    <row r="4" spans="2:8" ht="7.5" customHeight="1" thickBot="1">
      <c r="B4" s="59"/>
      <c r="C4" s="59"/>
      <c r="D4" s="59"/>
      <c r="E4" s="59"/>
      <c r="F4" s="59"/>
      <c r="G4" s="60"/>
      <c r="H4" s="59"/>
    </row>
    <row r="5" spans="2:8" ht="12" thickBot="1">
      <c r="B5" s="12" t="s">
        <v>12</v>
      </c>
      <c r="C5" s="140" t="s">
        <v>159</v>
      </c>
      <c r="D5" s="13" t="s">
        <v>11</v>
      </c>
      <c r="E5" s="144" t="s">
        <v>160</v>
      </c>
      <c r="F5" s="14" t="s">
        <v>18</v>
      </c>
      <c r="G5" s="16" t="s">
        <v>37</v>
      </c>
      <c r="H5" s="16" t="s">
        <v>51</v>
      </c>
    </row>
    <row r="6" spans="2:8" ht="11.25">
      <c r="B6" s="91" t="s">
        <v>144</v>
      </c>
      <c r="C6" s="141" t="s">
        <v>198</v>
      </c>
      <c r="D6" s="92" t="s">
        <v>203</v>
      </c>
      <c r="E6" s="145" t="s">
        <v>184</v>
      </c>
      <c r="F6" s="93" t="s">
        <v>25</v>
      </c>
      <c r="G6" s="94" t="s">
        <v>129</v>
      </c>
      <c r="H6" s="94">
        <v>18</v>
      </c>
    </row>
    <row r="7" spans="2:8" ht="11.25">
      <c r="B7" s="95" t="s">
        <v>270</v>
      </c>
      <c r="C7" s="142" t="s">
        <v>168</v>
      </c>
      <c r="D7" s="96" t="s">
        <v>26</v>
      </c>
      <c r="E7" s="146" t="s">
        <v>177</v>
      </c>
      <c r="F7" s="97" t="s">
        <v>25</v>
      </c>
      <c r="G7" s="94" t="s">
        <v>38</v>
      </c>
      <c r="H7" s="94">
        <v>11</v>
      </c>
    </row>
    <row r="8" spans="2:8" ht="11.25">
      <c r="B8" s="95" t="s">
        <v>148</v>
      </c>
      <c r="C8" s="142" t="s">
        <v>168</v>
      </c>
      <c r="D8" s="96" t="s">
        <v>209</v>
      </c>
      <c r="E8" s="146" t="s">
        <v>188</v>
      </c>
      <c r="F8" s="97" t="s">
        <v>25</v>
      </c>
      <c r="G8" s="94" t="s">
        <v>131</v>
      </c>
      <c r="H8" s="94">
        <v>28</v>
      </c>
    </row>
    <row r="9" spans="2:8" ht="11.25">
      <c r="B9" s="95" t="s">
        <v>77</v>
      </c>
      <c r="C9" s="142" t="s">
        <v>199</v>
      </c>
      <c r="D9" s="96" t="s">
        <v>205</v>
      </c>
      <c r="E9" s="146" t="s">
        <v>177</v>
      </c>
      <c r="F9" s="97" t="s">
        <v>25</v>
      </c>
      <c r="G9" s="94" t="s">
        <v>85</v>
      </c>
      <c r="H9" s="94">
        <v>8</v>
      </c>
    </row>
    <row r="10" spans="2:8" ht="11.25">
      <c r="B10" s="95" t="s">
        <v>76</v>
      </c>
      <c r="C10" s="142" t="s">
        <v>208</v>
      </c>
      <c r="D10" s="96" t="s">
        <v>105</v>
      </c>
      <c r="E10" s="146" t="s">
        <v>173</v>
      </c>
      <c r="F10" s="97" t="s">
        <v>25</v>
      </c>
      <c r="G10" s="94" t="s">
        <v>83</v>
      </c>
      <c r="H10" s="94">
        <v>15</v>
      </c>
    </row>
    <row r="11" spans="2:8" ht="11.25">
      <c r="B11" s="95" t="s">
        <v>124</v>
      </c>
      <c r="C11" s="142" t="s">
        <v>171</v>
      </c>
      <c r="D11" s="96" t="s">
        <v>172</v>
      </c>
      <c r="E11" s="146" t="s">
        <v>173</v>
      </c>
      <c r="F11" s="97" t="s">
        <v>25</v>
      </c>
      <c r="G11" s="94" t="s">
        <v>123</v>
      </c>
      <c r="H11" s="94">
        <v>30</v>
      </c>
    </row>
    <row r="12" spans="2:8" ht="11.25">
      <c r="B12" s="95" t="s">
        <v>154</v>
      </c>
      <c r="C12" s="142" t="s">
        <v>229</v>
      </c>
      <c r="D12" s="96" t="s">
        <v>228</v>
      </c>
      <c r="E12" s="146" t="s">
        <v>190</v>
      </c>
      <c r="F12" s="97" t="s">
        <v>25</v>
      </c>
      <c r="G12" s="94" t="s">
        <v>137</v>
      </c>
      <c r="H12" s="94">
        <v>33</v>
      </c>
    </row>
    <row r="13" spans="2:8" ht="11.25">
      <c r="B13" s="95" t="s">
        <v>271</v>
      </c>
      <c r="C13" s="142" t="s">
        <v>236</v>
      </c>
      <c r="D13" s="96" t="s">
        <v>237</v>
      </c>
      <c r="E13" s="146" t="s">
        <v>196</v>
      </c>
      <c r="F13" s="97" t="s">
        <v>25</v>
      </c>
      <c r="G13" s="94" t="s">
        <v>140</v>
      </c>
      <c r="H13" s="94">
        <v>40</v>
      </c>
    </row>
    <row r="14" spans="2:8" ht="11.25">
      <c r="B14" s="95" t="s">
        <v>248</v>
      </c>
      <c r="C14" s="142" t="s">
        <v>247</v>
      </c>
      <c r="D14" s="96" t="s">
        <v>249</v>
      </c>
      <c r="E14" s="146" t="s">
        <v>250</v>
      </c>
      <c r="F14" s="97" t="s">
        <v>22</v>
      </c>
      <c r="G14" s="94" t="s">
        <v>47</v>
      </c>
      <c r="H14" s="94">
        <v>9</v>
      </c>
    </row>
    <row r="15" spans="2:8" ht="11.25">
      <c r="B15" s="95" t="s">
        <v>145</v>
      </c>
      <c r="C15" s="142" t="s">
        <v>200</v>
      </c>
      <c r="D15" s="96" t="s">
        <v>201</v>
      </c>
      <c r="E15" s="146" t="s">
        <v>186</v>
      </c>
      <c r="F15" s="97" t="s">
        <v>22</v>
      </c>
      <c r="G15" s="94" t="s">
        <v>130</v>
      </c>
      <c r="H15" s="94">
        <v>25</v>
      </c>
    </row>
    <row r="16" spans="2:8" ht="11.25">
      <c r="B16" s="95" t="s">
        <v>20</v>
      </c>
      <c r="C16" s="142" t="s">
        <v>166</v>
      </c>
      <c r="D16" s="96" t="s">
        <v>34</v>
      </c>
      <c r="E16" s="146" t="s">
        <v>174</v>
      </c>
      <c r="F16" s="97" t="s">
        <v>22</v>
      </c>
      <c r="G16" s="94" t="s">
        <v>48</v>
      </c>
      <c r="H16" s="94">
        <v>7</v>
      </c>
    </row>
    <row r="17" spans="2:8" ht="11.25">
      <c r="B17" s="95" t="s">
        <v>153</v>
      </c>
      <c r="C17" s="142" t="s">
        <v>226</v>
      </c>
      <c r="D17" s="96" t="s">
        <v>227</v>
      </c>
      <c r="E17" s="146" t="s">
        <v>187</v>
      </c>
      <c r="F17" s="97" t="s">
        <v>22</v>
      </c>
      <c r="G17" s="94" t="s">
        <v>136</v>
      </c>
      <c r="H17" s="94">
        <v>27</v>
      </c>
    </row>
    <row r="18" spans="2:8" ht="11.25">
      <c r="B18" s="95" t="s">
        <v>21</v>
      </c>
      <c r="C18" s="142" t="s">
        <v>170</v>
      </c>
      <c r="D18" s="96" t="s">
        <v>106</v>
      </c>
      <c r="E18" s="146" t="s">
        <v>174</v>
      </c>
      <c r="F18" s="97" t="s">
        <v>22</v>
      </c>
      <c r="G18" s="94" t="s">
        <v>49</v>
      </c>
      <c r="H18" s="94">
        <v>16</v>
      </c>
    </row>
    <row r="19" spans="2:8" ht="11.25">
      <c r="B19" s="95" t="s">
        <v>151</v>
      </c>
      <c r="C19" s="142" t="s">
        <v>223</v>
      </c>
      <c r="D19" s="96" t="s">
        <v>222</v>
      </c>
      <c r="E19" s="146" t="s">
        <v>191</v>
      </c>
      <c r="F19" s="97" t="s">
        <v>22</v>
      </c>
      <c r="G19" s="94" t="s">
        <v>134</v>
      </c>
      <c r="H19" s="94">
        <v>34</v>
      </c>
    </row>
    <row r="20" spans="2:8" ht="11.25">
      <c r="B20" s="95" t="s">
        <v>149</v>
      </c>
      <c r="C20" s="142" t="s">
        <v>216</v>
      </c>
      <c r="D20" s="96" t="s">
        <v>217</v>
      </c>
      <c r="E20" s="146" t="s">
        <v>193</v>
      </c>
      <c r="F20" s="97" t="s">
        <v>22</v>
      </c>
      <c r="G20" s="94" t="s">
        <v>132</v>
      </c>
      <c r="H20" s="94">
        <v>36</v>
      </c>
    </row>
    <row r="21" spans="2:8" ht="11.25">
      <c r="B21" s="95" t="s">
        <v>157</v>
      </c>
      <c r="C21" s="142" t="s">
        <v>240</v>
      </c>
      <c r="D21" s="96" t="s">
        <v>239</v>
      </c>
      <c r="E21" s="146" t="s">
        <v>238</v>
      </c>
      <c r="F21" s="97" t="s">
        <v>22</v>
      </c>
      <c r="G21" s="94" t="s">
        <v>142</v>
      </c>
      <c r="H21" s="94">
        <v>37</v>
      </c>
    </row>
    <row r="22" spans="2:8" ht="11.25">
      <c r="B22" s="95" t="s">
        <v>156</v>
      </c>
      <c r="C22" s="142" t="s">
        <v>235</v>
      </c>
      <c r="D22" s="96" t="s">
        <v>234</v>
      </c>
      <c r="E22" s="146" t="s">
        <v>233</v>
      </c>
      <c r="F22" s="97" t="s">
        <v>75</v>
      </c>
      <c r="G22" s="94" t="s">
        <v>139</v>
      </c>
      <c r="H22" s="94">
        <v>19</v>
      </c>
    </row>
    <row r="23" spans="2:8" ht="11.25">
      <c r="B23" s="95" t="s">
        <v>121</v>
      </c>
      <c r="C23" s="142" t="s">
        <v>199</v>
      </c>
      <c r="D23" s="96" t="s">
        <v>202</v>
      </c>
      <c r="E23" s="146" t="s">
        <v>176</v>
      </c>
      <c r="F23" s="97" t="s">
        <v>75</v>
      </c>
      <c r="G23" s="94" t="s">
        <v>122</v>
      </c>
      <c r="H23" s="94">
        <v>21</v>
      </c>
    </row>
    <row r="24" spans="2:8" ht="11.25">
      <c r="B24" s="95" t="s">
        <v>155</v>
      </c>
      <c r="C24" s="142" t="s">
        <v>230</v>
      </c>
      <c r="D24" s="96" t="s">
        <v>231</v>
      </c>
      <c r="E24" s="146" t="s">
        <v>232</v>
      </c>
      <c r="F24" s="97" t="s">
        <v>75</v>
      </c>
      <c r="G24" s="94" t="s">
        <v>138</v>
      </c>
      <c r="H24" s="94">
        <v>22</v>
      </c>
    </row>
    <row r="25" spans="2:8" ht="11.25">
      <c r="B25" s="95" t="s">
        <v>251</v>
      </c>
      <c r="C25" s="142" t="s">
        <v>252</v>
      </c>
      <c r="D25" s="96" t="s">
        <v>259</v>
      </c>
      <c r="E25" s="146" t="s">
        <v>232</v>
      </c>
      <c r="F25" s="97" t="s">
        <v>75</v>
      </c>
      <c r="G25" s="94" t="s">
        <v>260</v>
      </c>
      <c r="H25" s="94">
        <v>23</v>
      </c>
    </row>
    <row r="26" spans="2:8" ht="11.25">
      <c r="B26" s="95" t="s">
        <v>80</v>
      </c>
      <c r="C26" s="142" t="s">
        <v>197</v>
      </c>
      <c r="D26" s="96" t="s">
        <v>204</v>
      </c>
      <c r="E26" s="146" t="s">
        <v>176</v>
      </c>
      <c r="F26" s="97" t="s">
        <v>75</v>
      </c>
      <c r="G26" s="94" t="s">
        <v>101</v>
      </c>
      <c r="H26" s="94">
        <v>12</v>
      </c>
    </row>
    <row r="27" spans="2:8" ht="11.25">
      <c r="B27" s="95" t="s">
        <v>266</v>
      </c>
      <c r="C27" s="142" t="s">
        <v>267</v>
      </c>
      <c r="D27" s="96" t="s">
        <v>268</v>
      </c>
      <c r="E27" s="146" t="s">
        <v>253</v>
      </c>
      <c r="F27" s="97" t="s">
        <v>75</v>
      </c>
      <c r="G27" s="94" t="s">
        <v>100</v>
      </c>
      <c r="H27" s="94">
        <v>5</v>
      </c>
    </row>
    <row r="28" spans="2:8" ht="11.25">
      <c r="B28" s="95" t="s">
        <v>150</v>
      </c>
      <c r="C28" s="142" t="s">
        <v>220</v>
      </c>
      <c r="D28" s="96" t="s">
        <v>221</v>
      </c>
      <c r="E28" s="146" t="s">
        <v>192</v>
      </c>
      <c r="F28" s="97" t="s">
        <v>75</v>
      </c>
      <c r="G28" s="94" t="s">
        <v>133</v>
      </c>
      <c r="H28" s="94">
        <v>35</v>
      </c>
    </row>
    <row r="29" spans="2:8" ht="11.25">
      <c r="B29" s="95" t="s">
        <v>146</v>
      </c>
      <c r="C29" s="142" t="s">
        <v>206</v>
      </c>
      <c r="D29" s="96" t="s">
        <v>207</v>
      </c>
      <c r="E29" s="146" t="s">
        <v>195</v>
      </c>
      <c r="F29" s="97" t="s">
        <v>75</v>
      </c>
      <c r="G29" s="94" t="s">
        <v>147</v>
      </c>
      <c r="H29" s="94">
        <v>39</v>
      </c>
    </row>
    <row r="30" spans="2:8" ht="11.25">
      <c r="B30" s="95" t="s">
        <v>117</v>
      </c>
      <c r="C30" s="142" t="s">
        <v>218</v>
      </c>
      <c r="D30" s="96" t="s">
        <v>219</v>
      </c>
      <c r="E30" s="146" t="s">
        <v>183</v>
      </c>
      <c r="F30" s="97" t="s">
        <v>23</v>
      </c>
      <c r="G30" s="94" t="s">
        <v>118</v>
      </c>
      <c r="H30" s="94">
        <v>17</v>
      </c>
    </row>
    <row r="31" spans="2:8" ht="11.25">
      <c r="B31" s="95" t="s">
        <v>112</v>
      </c>
      <c r="C31" s="142" t="s">
        <v>243</v>
      </c>
      <c r="D31" s="96" t="s">
        <v>32</v>
      </c>
      <c r="E31" s="146" t="s">
        <v>175</v>
      </c>
      <c r="F31" s="97" t="s">
        <v>23</v>
      </c>
      <c r="G31" s="94" t="s">
        <v>44</v>
      </c>
      <c r="H31" s="94">
        <v>13</v>
      </c>
    </row>
    <row r="32" spans="2:8" ht="11.25">
      <c r="B32" s="95" t="s">
        <v>119</v>
      </c>
      <c r="C32" s="142" t="s">
        <v>215</v>
      </c>
      <c r="D32" s="96" t="s">
        <v>214</v>
      </c>
      <c r="E32" s="146" t="s">
        <v>181</v>
      </c>
      <c r="F32" s="97" t="s">
        <v>23</v>
      </c>
      <c r="G32" s="94" t="s">
        <v>120</v>
      </c>
      <c r="H32" s="94">
        <v>26</v>
      </c>
    </row>
    <row r="33" spans="2:8" ht="11.25">
      <c r="B33" s="95" t="s">
        <v>111</v>
      </c>
      <c r="C33" s="142" t="s">
        <v>169</v>
      </c>
      <c r="D33" s="96" t="s">
        <v>108</v>
      </c>
      <c r="E33" s="146" t="s">
        <v>175</v>
      </c>
      <c r="F33" s="97" t="s">
        <v>23</v>
      </c>
      <c r="G33" s="94" t="s">
        <v>93</v>
      </c>
      <c r="H33" s="94">
        <v>14</v>
      </c>
    </row>
    <row r="34" spans="2:8" ht="11.25">
      <c r="B34" s="95" t="s">
        <v>79</v>
      </c>
      <c r="C34" s="142" t="s">
        <v>163</v>
      </c>
      <c r="D34" s="96" t="s">
        <v>213</v>
      </c>
      <c r="E34" s="146" t="s">
        <v>181</v>
      </c>
      <c r="F34" s="97" t="s">
        <v>23</v>
      </c>
      <c r="G34" s="94" t="s">
        <v>90</v>
      </c>
      <c r="H34" s="94">
        <v>3</v>
      </c>
    </row>
    <row r="35" spans="2:8" ht="11.25">
      <c r="B35" s="95" t="s">
        <v>269</v>
      </c>
      <c r="C35" s="142" t="s">
        <v>167</v>
      </c>
      <c r="D35" s="96" t="s">
        <v>35</v>
      </c>
      <c r="E35" s="146" t="s">
        <v>178</v>
      </c>
      <c r="F35" s="97" t="s">
        <v>23</v>
      </c>
      <c r="G35" s="94" t="s">
        <v>45</v>
      </c>
      <c r="H35" s="94">
        <v>10</v>
      </c>
    </row>
    <row r="36" spans="2:8" ht="11.25">
      <c r="B36" s="95" t="s">
        <v>265</v>
      </c>
      <c r="C36" s="142" t="s">
        <v>264</v>
      </c>
      <c r="D36" s="96" t="s">
        <v>263</v>
      </c>
      <c r="E36" s="146" t="s">
        <v>262</v>
      </c>
      <c r="F36" s="97" t="s">
        <v>23</v>
      </c>
      <c r="G36" s="94" t="s">
        <v>261</v>
      </c>
      <c r="H36" s="94">
        <v>29</v>
      </c>
    </row>
    <row r="37" spans="2:8" ht="11.25">
      <c r="B37" s="95" t="s">
        <v>19</v>
      </c>
      <c r="C37" s="142" t="s">
        <v>165</v>
      </c>
      <c r="D37" s="96" t="s">
        <v>246</v>
      </c>
      <c r="E37" s="146" t="s">
        <v>183</v>
      </c>
      <c r="F37" s="97" t="s">
        <v>23</v>
      </c>
      <c r="G37" s="94" t="s">
        <v>46</v>
      </c>
      <c r="H37" s="94">
        <v>6</v>
      </c>
    </row>
    <row r="38" spans="2:8" ht="11.25">
      <c r="B38" s="95" t="s">
        <v>127</v>
      </c>
      <c r="C38" s="142" t="s">
        <v>245</v>
      </c>
      <c r="D38" s="96" t="s">
        <v>244</v>
      </c>
      <c r="E38" s="146" t="s">
        <v>185</v>
      </c>
      <c r="F38" s="97" t="s">
        <v>24</v>
      </c>
      <c r="G38" s="94" t="s">
        <v>128</v>
      </c>
      <c r="H38" s="94">
        <v>20</v>
      </c>
    </row>
    <row r="39" spans="2:8" ht="11.25">
      <c r="B39" s="95" t="s">
        <v>78</v>
      </c>
      <c r="C39" s="142" t="s">
        <v>162</v>
      </c>
      <c r="D39" s="96" t="s">
        <v>107</v>
      </c>
      <c r="E39" s="146" t="s">
        <v>180</v>
      </c>
      <c r="F39" s="97" t="s">
        <v>24</v>
      </c>
      <c r="G39" s="94" t="s">
        <v>89</v>
      </c>
      <c r="H39" s="94">
        <v>2</v>
      </c>
    </row>
    <row r="40" spans="2:8" ht="11.25">
      <c r="B40" s="95" t="s">
        <v>255</v>
      </c>
      <c r="C40" s="142" t="s">
        <v>254</v>
      </c>
      <c r="D40" s="96" t="s">
        <v>256</v>
      </c>
      <c r="E40" s="146" t="s">
        <v>257</v>
      </c>
      <c r="F40" s="97" t="s">
        <v>24</v>
      </c>
      <c r="G40" s="94" t="s">
        <v>258</v>
      </c>
      <c r="H40" s="94">
        <v>24</v>
      </c>
    </row>
    <row r="41" spans="2:8" ht="11.25">
      <c r="B41" s="95" t="s">
        <v>158</v>
      </c>
      <c r="C41" s="142" t="s">
        <v>241</v>
      </c>
      <c r="D41" s="96" t="s">
        <v>242</v>
      </c>
      <c r="E41" s="146" t="s">
        <v>189</v>
      </c>
      <c r="F41" s="97" t="s">
        <v>24</v>
      </c>
      <c r="G41" s="94" t="s">
        <v>141</v>
      </c>
      <c r="H41" s="94">
        <v>31</v>
      </c>
    </row>
    <row r="42" spans="2:8" ht="11.25">
      <c r="B42" s="95" t="s">
        <v>109</v>
      </c>
      <c r="C42" s="142" t="s">
        <v>164</v>
      </c>
      <c r="D42" s="96" t="s">
        <v>33</v>
      </c>
      <c r="E42" s="146" t="s">
        <v>182</v>
      </c>
      <c r="F42" s="97" t="s">
        <v>24</v>
      </c>
      <c r="G42" s="94" t="s">
        <v>42</v>
      </c>
      <c r="H42" s="94">
        <v>4</v>
      </c>
    </row>
    <row r="43" spans="2:8" ht="11.25">
      <c r="B43" s="95" t="s">
        <v>125</v>
      </c>
      <c r="C43" s="142" t="s">
        <v>211</v>
      </c>
      <c r="D43" s="96" t="s">
        <v>212</v>
      </c>
      <c r="E43" s="146" t="s">
        <v>180</v>
      </c>
      <c r="F43" s="97" t="s">
        <v>24</v>
      </c>
      <c r="G43" s="94" t="s">
        <v>126</v>
      </c>
      <c r="H43" s="94">
        <v>32</v>
      </c>
    </row>
    <row r="44" spans="2:8" ht="11.25">
      <c r="B44" s="95" t="s">
        <v>110</v>
      </c>
      <c r="C44" s="142" t="s">
        <v>161</v>
      </c>
      <c r="D44" s="96" t="s">
        <v>210</v>
      </c>
      <c r="E44" s="146" t="s">
        <v>179</v>
      </c>
      <c r="F44" s="97" t="s">
        <v>24</v>
      </c>
      <c r="G44" s="94" t="s">
        <v>43</v>
      </c>
      <c r="H44" s="94">
        <v>1</v>
      </c>
    </row>
    <row r="45" spans="2:8" ht="12" thickBot="1">
      <c r="B45" s="98" t="s">
        <v>152</v>
      </c>
      <c r="C45" s="143" t="s">
        <v>224</v>
      </c>
      <c r="D45" s="99" t="s">
        <v>225</v>
      </c>
      <c r="E45" s="147" t="s">
        <v>194</v>
      </c>
      <c r="F45" s="100" t="s">
        <v>24</v>
      </c>
      <c r="G45" s="101" t="s">
        <v>135</v>
      </c>
      <c r="H45" s="101">
        <v>38</v>
      </c>
    </row>
    <row r="46" spans="2:8" ht="11.25">
      <c r="B46" s="59"/>
      <c r="C46" s="59"/>
      <c r="D46" s="59"/>
      <c r="E46" s="59"/>
      <c r="F46" s="59"/>
      <c r="G46" s="60"/>
      <c r="H46" s="59"/>
    </row>
    <row r="47" spans="2:8" ht="11.25">
      <c r="B47" s="59" t="s">
        <v>52</v>
      </c>
      <c r="C47" s="59"/>
      <c r="D47" s="59"/>
      <c r="E47" s="59"/>
      <c r="F47" s="59"/>
      <c r="G47" s="60"/>
      <c r="H47" s="59"/>
    </row>
    <row r="48" spans="2:8" ht="11.25">
      <c r="B48" s="59" t="s">
        <v>116</v>
      </c>
      <c r="C48" s="59"/>
      <c r="D48" s="59"/>
      <c r="E48" s="59"/>
      <c r="F48" s="59"/>
      <c r="G48" s="60"/>
      <c r="H48" s="59"/>
    </row>
    <row r="49" spans="2:8" ht="11.25">
      <c r="B49" s="59" t="s">
        <v>104</v>
      </c>
      <c r="C49" s="59"/>
      <c r="D49" s="59"/>
      <c r="E49" s="59"/>
      <c r="F49" s="59"/>
      <c r="G49" s="60"/>
      <c r="H49" s="59"/>
    </row>
    <row r="50" spans="2:8" ht="11.25">
      <c r="B50" s="59" t="s">
        <v>115</v>
      </c>
      <c r="C50" s="59"/>
      <c r="D50" s="59"/>
      <c r="E50" s="59"/>
      <c r="F50" s="59"/>
      <c r="G50" s="60"/>
      <c r="H50" s="59"/>
    </row>
    <row r="51" spans="2:8" ht="11.25">
      <c r="B51" s="59"/>
      <c r="C51" s="59"/>
      <c r="D51" s="59"/>
      <c r="E51" s="59"/>
      <c r="F51" s="59"/>
      <c r="G51" s="60"/>
      <c r="H51" s="59"/>
    </row>
    <row r="52" spans="2:8" ht="11.25">
      <c r="B52" s="59"/>
      <c r="C52" s="59"/>
      <c r="D52" s="59"/>
      <c r="E52" s="59"/>
      <c r="F52" s="59"/>
      <c r="G52" s="60"/>
      <c r="H52" s="59"/>
    </row>
    <row r="53" spans="2:8" ht="11.25">
      <c r="B53" s="59"/>
      <c r="C53" s="59"/>
      <c r="D53" s="59"/>
      <c r="E53" s="59"/>
      <c r="F53" s="59"/>
      <c r="G53" s="60"/>
      <c r="H53" s="59"/>
    </row>
    <row r="54" spans="2:8" ht="11.25">
      <c r="B54" s="59"/>
      <c r="C54" s="59"/>
      <c r="D54" s="59"/>
      <c r="E54" s="59"/>
      <c r="F54" s="59"/>
      <c r="G54" s="60"/>
      <c r="H54" s="59"/>
    </row>
    <row r="55" spans="2:8" ht="11.25">
      <c r="B55" s="59"/>
      <c r="C55" s="59"/>
      <c r="D55" s="59"/>
      <c r="E55" s="59"/>
      <c r="F55" s="59"/>
      <c r="G55" s="60"/>
      <c r="H55" s="59"/>
    </row>
    <row r="56" spans="2:8" ht="11.25">
      <c r="B56" s="59"/>
      <c r="C56" s="59"/>
      <c r="D56" s="59"/>
      <c r="E56" s="59"/>
      <c r="F56" s="59"/>
      <c r="G56" s="60"/>
      <c r="H56" s="59"/>
    </row>
    <row r="57" spans="2:8" ht="11.25">
      <c r="B57" s="59"/>
      <c r="C57" s="59"/>
      <c r="D57" s="59"/>
      <c r="E57" s="59"/>
      <c r="F57" s="59"/>
      <c r="G57" s="60"/>
      <c r="H57" s="59"/>
    </row>
  </sheetData>
  <sheetProtection selectLockedCells="1"/>
  <mergeCells count="3">
    <mergeCell ref="F2:G2"/>
    <mergeCell ref="F3:G3"/>
    <mergeCell ref="B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3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.421875" style="71" customWidth="1"/>
    <col min="2" max="37" width="6.421875" style="0" customWidth="1"/>
    <col min="38" max="56" width="9.140625" style="71" customWidth="1"/>
  </cols>
  <sheetData>
    <row r="1" spans="2:37" ht="7.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</row>
    <row r="2" spans="2:37" ht="152.25">
      <c r="B2" s="112" t="s">
        <v>12</v>
      </c>
      <c r="C2" s="112" t="e">
        <f>INDEX(Teams!$B$5:$H$45,MATCH(RankPoints!C$4,Teams!$G$5:$G$45,0),1)</f>
        <v>#N/A</v>
      </c>
      <c r="D2" s="80" t="str">
        <f>INDEX(Teams!$B$5:$H$45,MATCH(RankPoints!D$4,Teams!$G$5:$G$45,0),1)</f>
        <v>Bugny A&amp;M University</v>
      </c>
      <c r="E2" s="80" t="e">
        <f>INDEX(Teams!$B$5:$H$45,MATCH(RankPoints!E$4,Teams!$G$5:$G$45,0),1)</f>
        <v>#N/A</v>
      </c>
      <c r="F2" s="76" t="e">
        <f>INDEX(Teams!$B$5:$H$45,MATCH(RankPoints!F$4,Teams!$G$5:$G$45,0),1)</f>
        <v>#N/A</v>
      </c>
      <c r="G2" s="76" t="str">
        <f>INDEX(Teams!$B$5:$H$45,MATCH(RankPoints!G$4,Teams!$G$5:$G$45,0),1)</f>
        <v>Saugeais State University</v>
      </c>
      <c r="H2" s="76" t="str">
        <f>INDEX(Teams!$B$5:$H$45,MATCH(RankPoints!H$4,Teams!$G$5:$G$45,0),1)</f>
        <v>Scott City University</v>
      </c>
      <c r="I2" s="77" t="e">
        <f>INDEX(Teams!$B$5:$H$45,MATCH(RankPoints!I$4,Teams!$G$5:$G$45,0),1)</f>
        <v>#N/A</v>
      </c>
      <c r="J2" s="80" t="str">
        <f>INDEX(Teams!$B$5:$H$45,MATCH(RankPoints!J$4,Teams!$G$5:$G$45,0),1)</f>
        <v>Colden University</v>
      </c>
      <c r="K2" s="76" t="e">
        <f>INDEX(Teams!$B$5:$H$45,MATCH(RankPoints!K$4,Teams!$G$5:$G$45,0),1)</f>
        <v>#N/A</v>
      </c>
      <c r="L2" s="76" t="e">
        <f>INDEX(Teams!$B$5:$H$45,MATCH(RankPoints!L$4,Teams!$G$5:$G$45,0),1)</f>
        <v>#N/A</v>
      </c>
      <c r="M2" s="80" t="str">
        <f>INDEX(Teams!$B$5:$H$45,MATCH(RankPoints!M$4,Teams!$G$5:$G$45,0),1)</f>
        <v>Ramusok Capital University</v>
      </c>
      <c r="N2" s="80" t="str">
        <f>INDEX(Teams!$B$5:$H$45,MATCH(RankPoints!N$4,Teams!$G$5:$G$45,0),1)</f>
        <v>Stoneshore College</v>
      </c>
      <c r="O2" s="76" t="e">
        <f>INDEX(Teams!$B$5:$H$45,MATCH(RankPoints!O$4,Teams!$G$5:$G$45,0),1)</f>
        <v>#N/A</v>
      </c>
      <c r="P2" s="77" t="e">
        <f>INDEX(Teams!$B$5:$H$45,MATCH(RankPoints!P$4,Teams!$G$5:$G$45,0),1)</f>
        <v>#N/A</v>
      </c>
      <c r="Q2" s="76" t="e">
        <f>INDEX(Teams!$B$5:$H$45,MATCH(RankPoints!Q$4,Teams!$G$5:$G$45,0),1)</f>
        <v>#N/A</v>
      </c>
      <c r="R2" s="76" t="e">
        <f>INDEX(Teams!$B$5:$H$45,MATCH(RankPoints!R$4,Teams!$G$5:$G$45,0),1)</f>
        <v>#N/A</v>
      </c>
      <c r="S2" s="76" t="str">
        <f>INDEX(Teams!$B$5:$H$45,MATCH(RankPoints!S$4,Teams!$G$5:$G$45,0),1)</f>
        <v>Oklahoma City State University</v>
      </c>
      <c r="T2" s="76" t="e">
        <f>INDEX(Teams!$B$5:$H$45,MATCH(RankPoints!T$4,Teams!$G$5:$G$45,0),1)</f>
        <v>#N/A</v>
      </c>
      <c r="U2" s="76" t="e">
        <f>INDEX(Teams!$B$5:$H$45,MATCH(RankPoints!U$4,Teams!$G$5:$G$45,0),1)</f>
        <v>#N/A</v>
      </c>
      <c r="V2" s="76" t="str">
        <f>INDEX(Teams!$B$5:$H$45,MATCH(RankPoints!V$4,Teams!$G$5:$G$45,0),1)</f>
        <v>University of Port Salem</v>
      </c>
      <c r="W2" s="77" t="e">
        <f>INDEX(Teams!$B$5:$H$45,MATCH(RankPoints!W$4,Teams!$G$5:$G$45,0),1)</f>
        <v>#N/A</v>
      </c>
      <c r="X2" s="80" t="str">
        <f>INDEX(Teams!$B$5:$H$45,MATCH(RankPoints!X$4,Teams!$G$5:$G$45,0),1)</f>
        <v>Fair Haven State University</v>
      </c>
      <c r="Y2" s="76" t="str">
        <f>INDEX(Teams!$B$5:$H$45,MATCH(RankPoints!Y$4,Teams!$G$5:$G$45,0),1)</f>
        <v>Northern Dinagat State University</v>
      </c>
      <c r="Z2" s="76" t="str">
        <f>INDEX(Teams!$B$5:$H$45,MATCH(RankPoints!Z$4,Teams!$G$5:$G$45,0),1)</f>
        <v>Riversburg-Madison University</v>
      </c>
      <c r="AA2" s="76" t="e">
        <f>INDEX(Teams!$B$5:$H$45,MATCH(RankPoints!AA$4,Teams!$G$5:$G$45,0),1)</f>
        <v>#N/A</v>
      </c>
      <c r="AB2" s="80" t="str">
        <f>INDEX(Teams!$B$5:$H$45,MATCH(RankPoints!AB$4,Teams!$G$5:$G$45,0),1)</f>
        <v>University of St. John's Island</v>
      </c>
      <c r="AC2" s="76" t="e">
        <f>INDEX(Teams!$B$5:$H$45,MATCH(RankPoints!AC$4,Teams!$G$5:$G$45,0),1)</f>
        <v>#N/A</v>
      </c>
      <c r="AD2" s="83" t="str">
        <f>INDEX(Teams!$B$5:$H$45,MATCH(RankPoints!AD$4,Teams!$G$5:$G$45,0),1)</f>
        <v>University of Alzburg-Dyka</v>
      </c>
      <c r="AE2" s="80" t="str">
        <f>INDEX(Teams!$B$5:$H$45,MATCH(RankPoints!AE$4,Teams!$G$5:$G$45,0),1)</f>
        <v>University of Arkinesia</v>
      </c>
      <c r="AF2" s="80" t="e">
        <f>INDEX(Teams!$B$5:$H$45,MATCH(RankPoints!AF$4,Teams!$G$5:$G$45,0),1)</f>
        <v>#N/A</v>
      </c>
      <c r="AG2" s="76" t="str">
        <f>INDEX(Teams!$B$5:$H$45,MATCH(RankPoints!AG$4,Teams!$G$5:$G$45,0),1)</f>
        <v>Frbiba State University</v>
      </c>
      <c r="AH2" s="76" t="e">
        <f>INDEX(Teams!$B$5:$H$45,MATCH(RankPoints!AH$4,Teams!$G$5:$G$45,0),1)</f>
        <v>#N/A</v>
      </c>
      <c r="AI2" s="76" t="e">
        <f>INDEX(Teams!$B$5:$H$45,MATCH(RankPoints!AI$4,Teams!$G$5:$G$45,0),1)</f>
        <v>#N/A</v>
      </c>
      <c r="AJ2" s="80" t="e">
        <f>INDEX(Teams!$B$5:$H$45,MATCH(RankPoints!AJ$4,Teams!$G$5:$G$45,0),1)</f>
        <v>#N/A</v>
      </c>
      <c r="AK2" s="83" t="str">
        <f>INDEX(Teams!$B$5:$H$45,MATCH(RankPoints!AK$4,Teams!$G$5:$G$45,0),1)</f>
        <v>University of Utica</v>
      </c>
    </row>
    <row r="3" spans="2:37" ht="7.5" customHeight="1" thickBot="1">
      <c r="B3" s="113"/>
      <c r="C3" s="113"/>
      <c r="D3" s="81"/>
      <c r="E3" s="81"/>
      <c r="F3" s="78"/>
      <c r="G3" s="78"/>
      <c r="H3" s="78"/>
      <c r="I3" s="79"/>
      <c r="J3" s="81"/>
      <c r="K3" s="78"/>
      <c r="L3" s="78"/>
      <c r="M3" s="81"/>
      <c r="N3" s="81"/>
      <c r="O3" s="78"/>
      <c r="P3" s="79"/>
      <c r="Q3" s="78"/>
      <c r="R3" s="78"/>
      <c r="S3" s="78"/>
      <c r="T3" s="78"/>
      <c r="U3" s="78"/>
      <c r="V3" s="78"/>
      <c r="W3" s="79"/>
      <c r="X3" s="81"/>
      <c r="Y3" s="78"/>
      <c r="Z3" s="78"/>
      <c r="AA3" s="78"/>
      <c r="AB3" s="81"/>
      <c r="AC3" s="78"/>
      <c r="AD3" s="84"/>
      <c r="AE3" s="81"/>
      <c r="AF3" s="81"/>
      <c r="AG3" s="78"/>
      <c r="AH3" s="78"/>
      <c r="AI3" s="78"/>
      <c r="AJ3" s="81"/>
      <c r="AK3" s="84"/>
    </row>
    <row r="4" spans="2:37" ht="13.5" thickBot="1">
      <c r="B4" s="88" t="s">
        <v>13</v>
      </c>
      <c r="C4" s="88" t="s">
        <v>84</v>
      </c>
      <c r="D4" s="82" t="s">
        <v>38</v>
      </c>
      <c r="E4" s="82" t="s">
        <v>39</v>
      </c>
      <c r="F4" s="89" t="s">
        <v>82</v>
      </c>
      <c r="G4" s="89" t="s">
        <v>85</v>
      </c>
      <c r="H4" s="89" t="s">
        <v>83</v>
      </c>
      <c r="I4" s="90" t="s">
        <v>86</v>
      </c>
      <c r="J4" s="82" t="s">
        <v>47</v>
      </c>
      <c r="K4" s="89" t="s">
        <v>94</v>
      </c>
      <c r="L4" s="89" t="s">
        <v>96</v>
      </c>
      <c r="M4" s="82" t="s">
        <v>48</v>
      </c>
      <c r="N4" s="82" t="s">
        <v>49</v>
      </c>
      <c r="O4" s="89" t="s">
        <v>97</v>
      </c>
      <c r="P4" s="90" t="s">
        <v>95</v>
      </c>
      <c r="Q4" s="89" t="s">
        <v>103</v>
      </c>
      <c r="R4" s="89" t="s">
        <v>99</v>
      </c>
      <c r="S4" s="89" t="s">
        <v>101</v>
      </c>
      <c r="T4" s="89" t="s">
        <v>102</v>
      </c>
      <c r="U4" s="89" t="s">
        <v>81</v>
      </c>
      <c r="V4" s="89" t="s">
        <v>100</v>
      </c>
      <c r="W4" s="90" t="s">
        <v>98</v>
      </c>
      <c r="X4" s="82" t="s">
        <v>44</v>
      </c>
      <c r="Y4" s="89" t="s">
        <v>93</v>
      </c>
      <c r="Z4" s="89" t="s">
        <v>90</v>
      </c>
      <c r="AA4" s="89" t="s">
        <v>92</v>
      </c>
      <c r="AB4" s="82" t="s">
        <v>45</v>
      </c>
      <c r="AC4" s="89" t="s">
        <v>91</v>
      </c>
      <c r="AD4" s="85" t="s">
        <v>46</v>
      </c>
      <c r="AE4" s="82" t="s">
        <v>42</v>
      </c>
      <c r="AF4" s="82" t="s">
        <v>40</v>
      </c>
      <c r="AG4" s="89" t="s">
        <v>89</v>
      </c>
      <c r="AH4" s="89" t="s">
        <v>87</v>
      </c>
      <c r="AI4" s="89" t="s">
        <v>88</v>
      </c>
      <c r="AJ4" s="82" t="s">
        <v>41</v>
      </c>
      <c r="AK4" s="85" t="s">
        <v>43</v>
      </c>
    </row>
    <row r="5" spans="2:37" ht="12.75">
      <c r="B5" s="114">
        <v>1</v>
      </c>
      <c r="C5" s="115">
        <v>1500</v>
      </c>
      <c r="D5" s="118">
        <v>1651</v>
      </c>
      <c r="E5" s="118">
        <v>1731</v>
      </c>
      <c r="F5" s="116">
        <v>1500</v>
      </c>
      <c r="G5" s="116">
        <v>1500</v>
      </c>
      <c r="H5" s="116">
        <v>1500</v>
      </c>
      <c r="I5" s="117">
        <v>1500</v>
      </c>
      <c r="J5" s="118">
        <v>1807</v>
      </c>
      <c r="K5" s="116">
        <v>1500</v>
      </c>
      <c r="L5" s="116">
        <v>1500</v>
      </c>
      <c r="M5" s="118">
        <v>1650</v>
      </c>
      <c r="N5" s="118">
        <v>1380</v>
      </c>
      <c r="O5" s="116">
        <v>1500</v>
      </c>
      <c r="P5" s="117">
        <v>1500</v>
      </c>
      <c r="Q5" s="116">
        <v>1500</v>
      </c>
      <c r="R5" s="116">
        <v>1500</v>
      </c>
      <c r="S5" s="116">
        <v>1500</v>
      </c>
      <c r="T5" s="116">
        <v>1500</v>
      </c>
      <c r="U5" s="116">
        <v>1500</v>
      </c>
      <c r="V5" s="116">
        <v>1500</v>
      </c>
      <c r="W5" s="117">
        <v>1500</v>
      </c>
      <c r="X5" s="118">
        <v>1584</v>
      </c>
      <c r="Y5" s="116">
        <v>1500</v>
      </c>
      <c r="Z5" s="116">
        <v>1500</v>
      </c>
      <c r="AA5" s="116">
        <v>1500</v>
      </c>
      <c r="AB5" s="118">
        <v>1599</v>
      </c>
      <c r="AC5" s="116">
        <v>1500</v>
      </c>
      <c r="AD5" s="119">
        <v>1545</v>
      </c>
      <c r="AE5" s="118">
        <v>1798</v>
      </c>
      <c r="AF5" s="118">
        <v>1411</v>
      </c>
      <c r="AG5" s="116">
        <v>1500</v>
      </c>
      <c r="AH5" s="116">
        <v>1500</v>
      </c>
      <c r="AI5" s="116">
        <v>1500</v>
      </c>
      <c r="AJ5" s="118">
        <v>1493</v>
      </c>
      <c r="AK5" s="119">
        <v>1851</v>
      </c>
    </row>
    <row r="6" spans="2:37" ht="12.75">
      <c r="B6" s="114">
        <f>B5+1</f>
        <v>2</v>
      </c>
      <c r="C6" s="104">
        <f>IF(ISERROR(IF(ISERROR(INDEX(Results!$B$2:$AA$226,MATCH(RankPoints!C$4&amp;RankPoints!$B5,Results!$P$2:$P$226,0),24)),INDEX(Results!$B$2:$AA$226,MATCH(RankPoints!C$4&amp;RankPoints!$B5,Results!$Q$2:$Q$226,0),25),INDEX(Results!$B$2:$AA$226,MATCH(RankPoints!C$4&amp;RankPoints!$B5,Results!$P$2:$P$226,0),24))),C5,IF(ISERROR(INDEX(Results!$B$2:$AA$226,MATCH(RankPoints!C$4&amp;RankPoints!$B5,Results!$P$2:$P$226,0),24)),INDEX(Results!$B$2:$AA$226,MATCH(RankPoints!C$4&amp;RankPoints!$B5,Results!$Q$2:$Q$226,0),25),INDEX(Results!$B$2:$AA$226,MATCH(RankPoints!C$4&amp;RankPoints!$B5,Results!$P$2:$P$226,0),24)))</f>
        <v>1500</v>
      </c>
      <c r="D6" s="106">
        <f>IF(ISERROR(IF(ISERROR(INDEX(Results!$B$2:$AA$226,MATCH(RankPoints!D$4&amp;RankPoints!$B5,Results!$P$2:$P$226,0),24)),INDEX(Results!$B$2:$AA$226,MATCH(RankPoints!D$4&amp;RankPoints!$B5,Results!$Q$2:$Q$226,0),25),INDEX(Results!$B$2:$AA$226,MATCH(RankPoints!D$4&amp;RankPoints!$B5,Results!$P$2:$P$226,0),24))),D5,IF(ISERROR(INDEX(Results!$B$2:$AA$226,MATCH(RankPoints!D$4&amp;RankPoints!$B5,Results!$P$2:$P$226,0),24)),INDEX(Results!$B$2:$AA$226,MATCH(RankPoints!D$4&amp;RankPoints!$B5,Results!$Q$2:$Q$226,0),25),INDEX(Results!$B$2:$AA$226,MATCH(RankPoints!D$4&amp;RankPoints!$B5,Results!$P$2:$P$226,0),24)))</f>
        <v>1651</v>
      </c>
      <c r="E6" s="106">
        <f>IF(ISERROR(IF(ISERROR(INDEX(Results!$B$2:$AA$226,MATCH(RankPoints!E$4&amp;RankPoints!$B5,Results!$P$2:$P$226,0),24)),INDEX(Results!$B$2:$AA$226,MATCH(RankPoints!E$4&amp;RankPoints!$B5,Results!$Q$2:$Q$226,0),25),INDEX(Results!$B$2:$AA$226,MATCH(RankPoints!E$4&amp;RankPoints!$B5,Results!$P$2:$P$226,0),24))),E5,IF(ISERROR(INDEX(Results!$B$2:$AA$226,MATCH(RankPoints!E$4&amp;RankPoints!$B5,Results!$P$2:$P$226,0),24)),INDEX(Results!$B$2:$AA$226,MATCH(RankPoints!E$4&amp;RankPoints!$B5,Results!$Q$2:$Q$226,0),25),INDEX(Results!$B$2:$AA$226,MATCH(RankPoints!E$4&amp;RankPoints!$B5,Results!$P$2:$P$226,0),24)))</f>
        <v>1731</v>
      </c>
      <c r="F6" s="50">
        <f>IF(ISERROR(IF(ISERROR(INDEX(Results!$B$2:$AA$226,MATCH(RankPoints!F$4&amp;RankPoints!$B5,Results!$P$2:$P$226,0),24)),INDEX(Results!$B$2:$AA$226,MATCH(RankPoints!F$4&amp;RankPoints!$B5,Results!$Q$2:$Q$226,0),25),INDEX(Results!$B$2:$AA$226,MATCH(RankPoints!F$4&amp;RankPoints!$B5,Results!$P$2:$P$226,0),24))),F5,IF(ISERROR(INDEX(Results!$B$2:$AA$226,MATCH(RankPoints!F$4&amp;RankPoints!$B5,Results!$P$2:$P$226,0),24)),INDEX(Results!$B$2:$AA$226,MATCH(RankPoints!F$4&amp;RankPoints!$B5,Results!$Q$2:$Q$226,0),25),INDEX(Results!$B$2:$AA$226,MATCH(RankPoints!F$4&amp;RankPoints!$B5,Results!$P$2:$P$226,0),24)))</f>
        <v>1500</v>
      </c>
      <c r="G6" s="50">
        <f>IF(ISERROR(IF(ISERROR(INDEX(Results!$B$2:$AA$226,MATCH(RankPoints!G$4&amp;RankPoints!$B5,Results!$P$2:$P$226,0),24)),INDEX(Results!$B$2:$AA$226,MATCH(RankPoints!G$4&amp;RankPoints!$B5,Results!$Q$2:$Q$226,0),25),INDEX(Results!$B$2:$AA$226,MATCH(RankPoints!G$4&amp;RankPoints!$B5,Results!$P$2:$P$226,0),24))),G5,IF(ISERROR(INDEX(Results!$B$2:$AA$226,MATCH(RankPoints!G$4&amp;RankPoints!$B5,Results!$P$2:$P$226,0),24)),INDEX(Results!$B$2:$AA$226,MATCH(RankPoints!G$4&amp;RankPoints!$B5,Results!$Q$2:$Q$226,0),25),INDEX(Results!$B$2:$AA$226,MATCH(RankPoints!G$4&amp;RankPoints!$B5,Results!$P$2:$P$226,0),24)))</f>
        <v>0</v>
      </c>
      <c r="H6" s="50">
        <f>IF(ISERROR(IF(ISERROR(INDEX(Results!$B$2:$AA$226,MATCH(RankPoints!H$4&amp;RankPoints!$B5,Results!$P$2:$P$226,0),24)),INDEX(Results!$B$2:$AA$226,MATCH(RankPoints!H$4&amp;RankPoints!$B5,Results!$Q$2:$Q$226,0),25),INDEX(Results!$B$2:$AA$226,MATCH(RankPoints!H$4&amp;RankPoints!$B5,Results!$P$2:$P$226,0),24))),H5,IF(ISERROR(INDEX(Results!$B$2:$AA$226,MATCH(RankPoints!H$4&amp;RankPoints!$B5,Results!$P$2:$P$226,0),24)),INDEX(Results!$B$2:$AA$226,MATCH(RankPoints!H$4&amp;RankPoints!$B5,Results!$Q$2:$Q$226,0),25),INDEX(Results!$B$2:$AA$226,MATCH(RankPoints!H$4&amp;RankPoints!$B5,Results!$P$2:$P$226,0),24)))</f>
        <v>1516</v>
      </c>
      <c r="I6" s="105">
        <f>IF(ISERROR(IF(ISERROR(INDEX(Results!$B$2:$AA$226,MATCH(RankPoints!I$4&amp;RankPoints!$B5,Results!$P$2:$P$226,0),24)),INDEX(Results!$B$2:$AA$226,MATCH(RankPoints!I$4&amp;RankPoints!$B5,Results!$Q$2:$Q$226,0),25),INDEX(Results!$B$2:$AA$226,MATCH(RankPoints!I$4&amp;RankPoints!$B5,Results!$P$2:$P$226,0),24))),I5,IF(ISERROR(INDEX(Results!$B$2:$AA$226,MATCH(RankPoints!I$4&amp;RankPoints!$B5,Results!$P$2:$P$226,0),24)),INDEX(Results!$B$2:$AA$226,MATCH(RankPoints!I$4&amp;RankPoints!$B5,Results!$Q$2:$Q$226,0),25),INDEX(Results!$B$2:$AA$226,MATCH(RankPoints!I$4&amp;RankPoints!$B5,Results!$P$2:$P$226,0),24)))</f>
        <v>1500</v>
      </c>
      <c r="J6" s="106">
        <f>IF(ISERROR(IF(ISERROR(INDEX(Results!$B$2:$AA$226,MATCH(RankPoints!J$4&amp;RankPoints!$B5,Results!$P$2:$P$226,0),24)),INDEX(Results!$B$2:$AA$226,MATCH(RankPoints!J$4&amp;RankPoints!$B5,Results!$Q$2:$Q$226,0),25),INDEX(Results!$B$2:$AA$226,MATCH(RankPoints!J$4&amp;RankPoints!$B5,Results!$P$2:$P$226,0),24))),J5,IF(ISERROR(INDEX(Results!$B$2:$AA$226,MATCH(RankPoints!J$4&amp;RankPoints!$B5,Results!$P$2:$P$226,0),24)),INDEX(Results!$B$2:$AA$226,MATCH(RankPoints!J$4&amp;RankPoints!$B5,Results!$Q$2:$Q$226,0),25),INDEX(Results!$B$2:$AA$226,MATCH(RankPoints!J$4&amp;RankPoints!$B5,Results!$P$2:$P$226,0),24)))</f>
        <v>1807</v>
      </c>
      <c r="K6" s="50">
        <f>IF(ISERROR(IF(ISERROR(INDEX(Results!$B$2:$AA$226,MATCH(RankPoints!K$4&amp;RankPoints!$B5,Results!$P$2:$P$226,0),24)),INDEX(Results!$B$2:$AA$226,MATCH(RankPoints!K$4&amp;RankPoints!$B5,Results!$Q$2:$Q$226,0),25),INDEX(Results!$B$2:$AA$226,MATCH(RankPoints!K$4&amp;RankPoints!$B5,Results!$P$2:$P$226,0),24))),K5,IF(ISERROR(INDEX(Results!$B$2:$AA$226,MATCH(RankPoints!K$4&amp;RankPoints!$B5,Results!$P$2:$P$226,0),24)),INDEX(Results!$B$2:$AA$226,MATCH(RankPoints!K$4&amp;RankPoints!$B5,Results!$Q$2:$Q$226,0),25),INDEX(Results!$B$2:$AA$226,MATCH(RankPoints!K$4&amp;RankPoints!$B5,Results!$P$2:$P$226,0),24)))</f>
        <v>1500</v>
      </c>
      <c r="L6" s="50">
        <f>IF(ISERROR(IF(ISERROR(INDEX(Results!$B$2:$AA$226,MATCH(RankPoints!L$4&amp;RankPoints!$B5,Results!$P$2:$P$226,0),24)),INDEX(Results!$B$2:$AA$226,MATCH(RankPoints!L$4&amp;RankPoints!$B5,Results!$Q$2:$Q$226,0),25),INDEX(Results!$B$2:$AA$226,MATCH(RankPoints!L$4&amp;RankPoints!$B5,Results!$P$2:$P$226,0),24))),L5,IF(ISERROR(INDEX(Results!$B$2:$AA$226,MATCH(RankPoints!L$4&amp;RankPoints!$B5,Results!$P$2:$P$226,0),24)),INDEX(Results!$B$2:$AA$226,MATCH(RankPoints!L$4&amp;RankPoints!$B5,Results!$Q$2:$Q$226,0),25),INDEX(Results!$B$2:$AA$226,MATCH(RankPoints!L$4&amp;RankPoints!$B5,Results!$P$2:$P$226,0),24)))</f>
        <v>1500</v>
      </c>
      <c r="M6" s="106">
        <f>IF(ISERROR(IF(ISERROR(INDEX(Results!$B$2:$AA$226,MATCH(RankPoints!M$4&amp;RankPoints!$B5,Results!$P$2:$P$226,0),24)),INDEX(Results!$B$2:$AA$226,MATCH(RankPoints!M$4&amp;RankPoints!$B5,Results!$Q$2:$Q$226,0),25),INDEX(Results!$B$2:$AA$226,MATCH(RankPoints!M$4&amp;RankPoints!$B5,Results!$P$2:$P$226,0),24))),M5,IF(ISERROR(INDEX(Results!$B$2:$AA$226,MATCH(RankPoints!M$4&amp;RankPoints!$B5,Results!$P$2:$P$226,0),24)),INDEX(Results!$B$2:$AA$226,MATCH(RankPoints!M$4&amp;RankPoints!$B5,Results!$Q$2:$Q$226,0),25),INDEX(Results!$B$2:$AA$226,MATCH(RankPoints!M$4&amp;RankPoints!$B5,Results!$P$2:$P$226,0),24)))</f>
        <v>1650</v>
      </c>
      <c r="N6" s="106">
        <f>IF(ISERROR(IF(ISERROR(INDEX(Results!$B$2:$AA$226,MATCH(RankPoints!N$4&amp;RankPoints!$B5,Results!$P$2:$P$226,0),24)),INDEX(Results!$B$2:$AA$226,MATCH(RankPoints!N$4&amp;RankPoints!$B5,Results!$Q$2:$Q$226,0),25),INDEX(Results!$B$2:$AA$226,MATCH(RankPoints!N$4&amp;RankPoints!$B5,Results!$P$2:$P$226,0),24))),N5,IF(ISERROR(INDEX(Results!$B$2:$AA$226,MATCH(RankPoints!N$4&amp;RankPoints!$B5,Results!$P$2:$P$226,0),24)),INDEX(Results!$B$2:$AA$226,MATCH(RankPoints!N$4&amp;RankPoints!$B5,Results!$Q$2:$Q$226,0),25),INDEX(Results!$B$2:$AA$226,MATCH(RankPoints!N$4&amp;RankPoints!$B5,Results!$P$2:$P$226,0),24)))</f>
        <v>1380</v>
      </c>
      <c r="O6" s="50">
        <f>IF(ISERROR(IF(ISERROR(INDEX(Results!$B$2:$AA$226,MATCH(RankPoints!O$4&amp;RankPoints!$B5,Results!$P$2:$P$226,0),24)),INDEX(Results!$B$2:$AA$226,MATCH(RankPoints!O$4&amp;RankPoints!$B5,Results!$Q$2:$Q$226,0),25),INDEX(Results!$B$2:$AA$226,MATCH(RankPoints!O$4&amp;RankPoints!$B5,Results!$P$2:$P$226,0),24))),O5,IF(ISERROR(INDEX(Results!$B$2:$AA$226,MATCH(RankPoints!O$4&amp;RankPoints!$B5,Results!$P$2:$P$226,0),24)),INDEX(Results!$B$2:$AA$226,MATCH(RankPoints!O$4&amp;RankPoints!$B5,Results!$Q$2:$Q$226,0),25),INDEX(Results!$B$2:$AA$226,MATCH(RankPoints!O$4&amp;RankPoints!$B5,Results!$P$2:$P$226,0),24)))</f>
        <v>1500</v>
      </c>
      <c r="P6" s="105">
        <f>IF(ISERROR(IF(ISERROR(INDEX(Results!$B$2:$AA$226,MATCH(RankPoints!P$4&amp;RankPoints!$B5,Results!$P$2:$P$226,0),24)),INDEX(Results!$B$2:$AA$226,MATCH(RankPoints!P$4&amp;RankPoints!$B5,Results!$Q$2:$Q$226,0),25),INDEX(Results!$B$2:$AA$226,MATCH(RankPoints!P$4&amp;RankPoints!$B5,Results!$P$2:$P$226,0),24))),P5,IF(ISERROR(INDEX(Results!$B$2:$AA$226,MATCH(RankPoints!P$4&amp;RankPoints!$B5,Results!$P$2:$P$226,0),24)),INDEX(Results!$B$2:$AA$226,MATCH(RankPoints!P$4&amp;RankPoints!$B5,Results!$Q$2:$Q$226,0),25),INDEX(Results!$B$2:$AA$226,MATCH(RankPoints!P$4&amp;RankPoints!$B5,Results!$P$2:$P$226,0),24)))</f>
        <v>1500</v>
      </c>
      <c r="Q6" s="50">
        <f>IF(ISERROR(IF(ISERROR(INDEX(Results!$B$2:$AA$226,MATCH(RankPoints!Q$4&amp;RankPoints!$B5,Results!$P$2:$P$226,0),24)),INDEX(Results!$B$2:$AA$226,MATCH(RankPoints!Q$4&amp;RankPoints!$B5,Results!$Q$2:$Q$226,0),25),INDEX(Results!$B$2:$AA$226,MATCH(RankPoints!Q$4&amp;RankPoints!$B5,Results!$P$2:$P$226,0),24))),Q5,IF(ISERROR(INDEX(Results!$B$2:$AA$226,MATCH(RankPoints!Q$4&amp;RankPoints!$B5,Results!$P$2:$P$226,0),24)),INDEX(Results!$B$2:$AA$226,MATCH(RankPoints!Q$4&amp;RankPoints!$B5,Results!$Q$2:$Q$226,0),25),INDEX(Results!$B$2:$AA$226,MATCH(RankPoints!Q$4&amp;RankPoints!$B5,Results!$P$2:$P$226,0),24)))</f>
        <v>1500</v>
      </c>
      <c r="R6" s="50">
        <f>IF(ISERROR(IF(ISERROR(INDEX(Results!$B$2:$AA$226,MATCH(RankPoints!R$4&amp;RankPoints!$B5,Results!$P$2:$P$226,0),24)),INDEX(Results!$B$2:$AA$226,MATCH(RankPoints!R$4&amp;RankPoints!$B5,Results!$Q$2:$Q$226,0),25),INDEX(Results!$B$2:$AA$226,MATCH(RankPoints!R$4&amp;RankPoints!$B5,Results!$P$2:$P$226,0),24))),R5,IF(ISERROR(INDEX(Results!$B$2:$AA$226,MATCH(RankPoints!R$4&amp;RankPoints!$B5,Results!$P$2:$P$226,0),24)),INDEX(Results!$B$2:$AA$226,MATCH(RankPoints!R$4&amp;RankPoints!$B5,Results!$Q$2:$Q$226,0),25),INDEX(Results!$B$2:$AA$226,MATCH(RankPoints!R$4&amp;RankPoints!$B5,Results!$P$2:$P$226,0),24)))</f>
        <v>1500</v>
      </c>
      <c r="S6" s="50">
        <f>IF(ISERROR(IF(ISERROR(INDEX(Results!$B$2:$AA$226,MATCH(RankPoints!S$4&amp;RankPoints!$B5,Results!$P$2:$P$226,0),24)),INDEX(Results!$B$2:$AA$226,MATCH(RankPoints!S$4&amp;RankPoints!$B5,Results!$Q$2:$Q$226,0),25),INDEX(Results!$B$2:$AA$226,MATCH(RankPoints!S$4&amp;RankPoints!$B5,Results!$P$2:$P$226,0),24))),S5,IF(ISERROR(INDEX(Results!$B$2:$AA$226,MATCH(RankPoints!S$4&amp;RankPoints!$B5,Results!$P$2:$P$226,0),24)),INDEX(Results!$B$2:$AA$226,MATCH(RankPoints!S$4&amp;RankPoints!$B5,Results!$Q$2:$Q$226,0),25),INDEX(Results!$B$2:$AA$226,MATCH(RankPoints!S$4&amp;RankPoints!$B5,Results!$P$2:$P$226,0),24)))</f>
        <v>1500</v>
      </c>
      <c r="T6" s="50">
        <f>IF(ISERROR(IF(ISERROR(INDEX(Results!$B$2:$AA$226,MATCH(RankPoints!T$4&amp;RankPoints!$B5,Results!$P$2:$P$226,0),24)),INDEX(Results!$B$2:$AA$226,MATCH(RankPoints!T$4&amp;RankPoints!$B5,Results!$Q$2:$Q$226,0),25),INDEX(Results!$B$2:$AA$226,MATCH(RankPoints!T$4&amp;RankPoints!$B5,Results!$P$2:$P$226,0),24))),T5,IF(ISERROR(INDEX(Results!$B$2:$AA$226,MATCH(RankPoints!T$4&amp;RankPoints!$B5,Results!$P$2:$P$226,0),24)),INDEX(Results!$B$2:$AA$226,MATCH(RankPoints!T$4&amp;RankPoints!$B5,Results!$Q$2:$Q$226,0),25),INDEX(Results!$B$2:$AA$226,MATCH(RankPoints!T$4&amp;RankPoints!$B5,Results!$P$2:$P$226,0),24)))</f>
        <v>1500</v>
      </c>
      <c r="U6" s="50">
        <f>IF(ISERROR(IF(ISERROR(INDEX(Results!$B$2:$AA$226,MATCH(RankPoints!U$4&amp;RankPoints!$B5,Results!$P$2:$P$226,0),24)),INDEX(Results!$B$2:$AA$226,MATCH(RankPoints!U$4&amp;RankPoints!$B5,Results!$Q$2:$Q$226,0),25),INDEX(Results!$B$2:$AA$226,MATCH(RankPoints!U$4&amp;RankPoints!$B5,Results!$P$2:$P$226,0),24))),U5,IF(ISERROR(INDEX(Results!$B$2:$AA$226,MATCH(RankPoints!U$4&amp;RankPoints!$B5,Results!$P$2:$P$226,0),24)),INDEX(Results!$B$2:$AA$226,MATCH(RankPoints!U$4&amp;RankPoints!$B5,Results!$Q$2:$Q$226,0),25),INDEX(Results!$B$2:$AA$226,MATCH(RankPoints!U$4&amp;RankPoints!$B5,Results!$P$2:$P$226,0),24)))</f>
        <v>1500</v>
      </c>
      <c r="V6" s="50">
        <f>IF(ISERROR(IF(ISERROR(INDEX(Results!$B$2:$AA$226,MATCH(RankPoints!V$4&amp;RankPoints!$B5,Results!$P$2:$P$226,0),24)),INDEX(Results!$B$2:$AA$226,MATCH(RankPoints!V$4&amp;RankPoints!$B5,Results!$Q$2:$Q$226,0),25),INDEX(Results!$B$2:$AA$226,MATCH(RankPoints!V$4&amp;RankPoints!$B5,Results!$P$2:$P$226,0),24))),V5,IF(ISERROR(INDEX(Results!$B$2:$AA$226,MATCH(RankPoints!V$4&amp;RankPoints!$B5,Results!$P$2:$P$226,0),24)),INDEX(Results!$B$2:$AA$226,MATCH(RankPoints!V$4&amp;RankPoints!$B5,Results!$Q$2:$Q$226,0),25),INDEX(Results!$B$2:$AA$226,MATCH(RankPoints!V$4&amp;RankPoints!$B5,Results!$P$2:$P$226,0),24)))</f>
        <v>1500</v>
      </c>
      <c r="W6" s="105">
        <f>IF(ISERROR(IF(ISERROR(INDEX(Results!$B$2:$AA$226,MATCH(RankPoints!W$4&amp;RankPoints!$B5,Results!$P$2:$P$226,0),24)),INDEX(Results!$B$2:$AA$226,MATCH(RankPoints!W$4&amp;RankPoints!$B5,Results!$Q$2:$Q$226,0),25),INDEX(Results!$B$2:$AA$226,MATCH(RankPoints!W$4&amp;RankPoints!$B5,Results!$P$2:$P$226,0),24))),W5,IF(ISERROR(INDEX(Results!$B$2:$AA$226,MATCH(RankPoints!W$4&amp;RankPoints!$B5,Results!$P$2:$P$226,0),24)),INDEX(Results!$B$2:$AA$226,MATCH(RankPoints!W$4&amp;RankPoints!$B5,Results!$Q$2:$Q$226,0),25),INDEX(Results!$B$2:$AA$226,MATCH(RankPoints!W$4&amp;RankPoints!$B5,Results!$P$2:$P$226,0),24)))</f>
        <v>1500</v>
      </c>
      <c r="X6" s="106">
        <f>IF(ISERROR(IF(ISERROR(INDEX(Results!$B$2:$AA$226,MATCH(RankPoints!X$4&amp;RankPoints!$B5,Results!$P$2:$P$226,0),24)),INDEX(Results!$B$2:$AA$226,MATCH(RankPoints!X$4&amp;RankPoints!$B5,Results!$Q$2:$Q$226,0),25),INDEX(Results!$B$2:$AA$226,MATCH(RankPoints!X$4&amp;RankPoints!$B5,Results!$P$2:$P$226,0),24))),X5,IF(ISERROR(INDEX(Results!$B$2:$AA$226,MATCH(RankPoints!X$4&amp;RankPoints!$B5,Results!$P$2:$P$226,0),24)),INDEX(Results!$B$2:$AA$226,MATCH(RankPoints!X$4&amp;RankPoints!$B5,Results!$Q$2:$Q$226,0),25),INDEX(Results!$B$2:$AA$226,MATCH(RankPoints!X$4&amp;RankPoints!$B5,Results!$P$2:$P$226,0),24)))</f>
        <v>1584</v>
      </c>
      <c r="Y6" s="50">
        <f>IF(ISERROR(IF(ISERROR(INDEX(Results!$B$2:$AA$226,MATCH(RankPoints!Y$4&amp;RankPoints!$B5,Results!$P$2:$P$226,0),24)),INDEX(Results!$B$2:$AA$226,MATCH(RankPoints!Y$4&amp;RankPoints!$B5,Results!$Q$2:$Q$226,0),25),INDEX(Results!$B$2:$AA$226,MATCH(RankPoints!Y$4&amp;RankPoints!$B5,Results!$P$2:$P$226,0),24))),Y5,IF(ISERROR(INDEX(Results!$B$2:$AA$226,MATCH(RankPoints!Y$4&amp;RankPoints!$B5,Results!$P$2:$P$226,0),24)),INDEX(Results!$B$2:$AA$226,MATCH(RankPoints!Y$4&amp;RankPoints!$B5,Results!$Q$2:$Q$226,0),25),INDEX(Results!$B$2:$AA$226,MATCH(RankPoints!Y$4&amp;RankPoints!$B5,Results!$P$2:$P$226,0),24)))</f>
        <v>1563</v>
      </c>
      <c r="Z6" s="50">
        <f>IF(ISERROR(IF(ISERROR(INDEX(Results!$B$2:$AA$226,MATCH(RankPoints!Z$4&amp;RankPoints!$B5,Results!$P$2:$P$226,0),24)),INDEX(Results!$B$2:$AA$226,MATCH(RankPoints!Z$4&amp;RankPoints!$B5,Results!$Q$2:$Q$226,0),25),INDEX(Results!$B$2:$AA$226,MATCH(RankPoints!Z$4&amp;RankPoints!$B5,Results!$P$2:$P$226,0),24))),Z5,IF(ISERROR(INDEX(Results!$B$2:$AA$226,MATCH(RankPoints!Z$4&amp;RankPoints!$B5,Results!$P$2:$P$226,0),24)),INDEX(Results!$B$2:$AA$226,MATCH(RankPoints!Z$4&amp;RankPoints!$B5,Results!$Q$2:$Q$226,0),25),INDEX(Results!$B$2:$AA$226,MATCH(RankPoints!Z$4&amp;RankPoints!$B5,Results!$P$2:$P$226,0),24)))</f>
        <v>1500</v>
      </c>
      <c r="AA6" s="50">
        <f>IF(ISERROR(IF(ISERROR(INDEX(Results!$B$2:$AA$226,MATCH(RankPoints!AA$4&amp;RankPoints!$B5,Results!$P$2:$P$226,0),24)),INDEX(Results!$B$2:$AA$226,MATCH(RankPoints!AA$4&amp;RankPoints!$B5,Results!$Q$2:$Q$226,0),25),INDEX(Results!$B$2:$AA$226,MATCH(RankPoints!AA$4&amp;RankPoints!$B5,Results!$P$2:$P$226,0),24))),AA5,IF(ISERROR(INDEX(Results!$B$2:$AA$226,MATCH(RankPoints!AA$4&amp;RankPoints!$B5,Results!$P$2:$P$226,0),24)),INDEX(Results!$B$2:$AA$226,MATCH(RankPoints!AA$4&amp;RankPoints!$B5,Results!$Q$2:$Q$226,0),25),INDEX(Results!$B$2:$AA$226,MATCH(RankPoints!AA$4&amp;RankPoints!$B5,Results!$P$2:$P$226,0),24)))</f>
        <v>1500</v>
      </c>
      <c r="AB6" s="106">
        <f>IF(ISERROR(IF(ISERROR(INDEX(Results!$B$2:$AA$226,MATCH(RankPoints!AB$4&amp;RankPoints!$B5,Results!$P$2:$P$226,0),24)),INDEX(Results!$B$2:$AA$226,MATCH(RankPoints!AB$4&amp;RankPoints!$B5,Results!$Q$2:$Q$226,0),25),INDEX(Results!$B$2:$AA$226,MATCH(RankPoints!AB$4&amp;RankPoints!$B5,Results!$P$2:$P$226,0),24))),AB5,IF(ISERROR(INDEX(Results!$B$2:$AA$226,MATCH(RankPoints!AB$4&amp;RankPoints!$B5,Results!$P$2:$P$226,0),24)),INDEX(Results!$B$2:$AA$226,MATCH(RankPoints!AB$4&amp;RankPoints!$B5,Results!$Q$2:$Q$226,0),25),INDEX(Results!$B$2:$AA$226,MATCH(RankPoints!AB$4&amp;RankPoints!$B5,Results!$P$2:$P$226,0),24)))</f>
        <v>1599</v>
      </c>
      <c r="AC6" s="50">
        <f>IF(ISERROR(IF(ISERROR(INDEX(Results!$B$2:$AA$226,MATCH(RankPoints!AC$4&amp;RankPoints!$B5,Results!$P$2:$P$226,0),24)),INDEX(Results!$B$2:$AA$226,MATCH(RankPoints!AC$4&amp;RankPoints!$B5,Results!$Q$2:$Q$226,0),25),INDEX(Results!$B$2:$AA$226,MATCH(RankPoints!AC$4&amp;RankPoints!$B5,Results!$P$2:$P$226,0),24))),AC5,IF(ISERROR(INDEX(Results!$B$2:$AA$226,MATCH(RankPoints!AC$4&amp;RankPoints!$B5,Results!$P$2:$P$226,0),24)),INDEX(Results!$B$2:$AA$226,MATCH(RankPoints!AC$4&amp;RankPoints!$B5,Results!$Q$2:$Q$226,0),25),INDEX(Results!$B$2:$AA$226,MATCH(RankPoints!AC$4&amp;RankPoints!$B5,Results!$P$2:$P$226,0),24)))</f>
        <v>1500</v>
      </c>
      <c r="AD6" s="107">
        <f>IF(ISERROR(IF(ISERROR(INDEX(Results!$B$2:$AA$226,MATCH(RankPoints!AD$4&amp;RankPoints!$B5,Results!$P$2:$P$226,0),24)),INDEX(Results!$B$2:$AA$226,MATCH(RankPoints!AD$4&amp;RankPoints!$B5,Results!$Q$2:$Q$226,0),25),INDEX(Results!$B$2:$AA$226,MATCH(RankPoints!AD$4&amp;RankPoints!$B5,Results!$P$2:$P$226,0),24))),AD5,IF(ISERROR(INDEX(Results!$B$2:$AA$226,MATCH(RankPoints!AD$4&amp;RankPoints!$B5,Results!$P$2:$P$226,0),24)),INDEX(Results!$B$2:$AA$226,MATCH(RankPoints!AD$4&amp;RankPoints!$B5,Results!$Q$2:$Q$226,0),25),INDEX(Results!$B$2:$AA$226,MATCH(RankPoints!AD$4&amp;RankPoints!$B5,Results!$P$2:$P$226,0),24)))</f>
        <v>-45</v>
      </c>
      <c r="AE6" s="106">
        <f>IF(ISERROR(IF(ISERROR(INDEX(Results!$B$2:$AA$226,MATCH(RankPoints!AE$4&amp;RankPoints!$B5,Results!$P$2:$P$226,0),24)),INDEX(Results!$B$2:$AA$226,MATCH(RankPoints!AE$4&amp;RankPoints!$B5,Results!$Q$2:$Q$226,0),25),INDEX(Results!$B$2:$AA$226,MATCH(RankPoints!AE$4&amp;RankPoints!$B5,Results!$P$2:$P$226,0),24))),AE5,IF(ISERROR(INDEX(Results!$B$2:$AA$226,MATCH(RankPoints!AE$4&amp;RankPoints!$B5,Results!$P$2:$P$226,0),24)),INDEX(Results!$B$2:$AA$226,MATCH(RankPoints!AE$4&amp;RankPoints!$B5,Results!$Q$2:$Q$226,0),25),INDEX(Results!$B$2:$AA$226,MATCH(RankPoints!AE$4&amp;RankPoints!$B5,Results!$P$2:$P$226,0),24)))</f>
        <v>1798</v>
      </c>
      <c r="AF6" s="106">
        <f>IF(ISERROR(IF(ISERROR(INDEX(Results!$B$2:$AA$226,MATCH(RankPoints!AF$4&amp;RankPoints!$B5,Results!$P$2:$P$226,0),24)),INDEX(Results!$B$2:$AA$226,MATCH(RankPoints!AF$4&amp;RankPoints!$B5,Results!$Q$2:$Q$226,0),25),INDEX(Results!$B$2:$AA$226,MATCH(RankPoints!AF$4&amp;RankPoints!$B5,Results!$P$2:$P$226,0),24))),AF5,IF(ISERROR(INDEX(Results!$B$2:$AA$226,MATCH(RankPoints!AF$4&amp;RankPoints!$B5,Results!$P$2:$P$226,0),24)),INDEX(Results!$B$2:$AA$226,MATCH(RankPoints!AF$4&amp;RankPoints!$B5,Results!$Q$2:$Q$226,0),25),INDEX(Results!$B$2:$AA$226,MATCH(RankPoints!AF$4&amp;RankPoints!$B5,Results!$P$2:$P$226,0),24)))</f>
        <v>1411</v>
      </c>
      <c r="AG6" s="50">
        <f>IF(ISERROR(IF(ISERROR(INDEX(Results!$B$2:$AA$226,MATCH(RankPoints!AG$4&amp;RankPoints!$B5,Results!$P$2:$P$226,0),24)),INDEX(Results!$B$2:$AA$226,MATCH(RankPoints!AG$4&amp;RankPoints!$B5,Results!$Q$2:$Q$226,0),25),INDEX(Results!$B$2:$AA$226,MATCH(RankPoints!AG$4&amp;RankPoints!$B5,Results!$P$2:$P$226,0),24))),AG5,IF(ISERROR(INDEX(Results!$B$2:$AA$226,MATCH(RankPoints!AG$4&amp;RankPoints!$B5,Results!$P$2:$P$226,0),24)),INDEX(Results!$B$2:$AA$226,MATCH(RankPoints!AG$4&amp;RankPoints!$B5,Results!$Q$2:$Q$226,0),25),INDEX(Results!$B$2:$AA$226,MATCH(RankPoints!AG$4&amp;RankPoints!$B5,Results!$P$2:$P$226,0),24)))</f>
        <v>351</v>
      </c>
      <c r="AH6" s="50">
        <f>IF(ISERROR(IF(ISERROR(INDEX(Results!$B$2:$AA$226,MATCH(RankPoints!AH$4&amp;RankPoints!$B5,Results!$P$2:$P$226,0),24)),INDEX(Results!$B$2:$AA$226,MATCH(RankPoints!AH$4&amp;RankPoints!$B5,Results!$Q$2:$Q$226,0),25),INDEX(Results!$B$2:$AA$226,MATCH(RankPoints!AH$4&amp;RankPoints!$B5,Results!$P$2:$P$226,0),24))),AH5,IF(ISERROR(INDEX(Results!$B$2:$AA$226,MATCH(RankPoints!AH$4&amp;RankPoints!$B5,Results!$P$2:$P$226,0),24)),INDEX(Results!$B$2:$AA$226,MATCH(RankPoints!AH$4&amp;RankPoints!$B5,Results!$Q$2:$Q$226,0),25),INDEX(Results!$B$2:$AA$226,MATCH(RankPoints!AH$4&amp;RankPoints!$B5,Results!$P$2:$P$226,0),24)))</f>
        <v>1500</v>
      </c>
      <c r="AI6" s="50">
        <f>IF(ISERROR(IF(ISERROR(INDEX(Results!$B$2:$AA$226,MATCH(RankPoints!AI$4&amp;RankPoints!$B5,Results!$P$2:$P$226,0),24)),INDEX(Results!$B$2:$AA$226,MATCH(RankPoints!AI$4&amp;RankPoints!$B5,Results!$Q$2:$Q$226,0),25),INDEX(Results!$B$2:$AA$226,MATCH(RankPoints!AI$4&amp;RankPoints!$B5,Results!$P$2:$P$226,0),24))),AI5,IF(ISERROR(INDEX(Results!$B$2:$AA$226,MATCH(RankPoints!AI$4&amp;RankPoints!$B5,Results!$P$2:$P$226,0),24)),INDEX(Results!$B$2:$AA$226,MATCH(RankPoints!AI$4&amp;RankPoints!$B5,Results!$Q$2:$Q$226,0),25),INDEX(Results!$B$2:$AA$226,MATCH(RankPoints!AI$4&amp;RankPoints!$B5,Results!$P$2:$P$226,0),24)))</f>
        <v>1500</v>
      </c>
      <c r="AJ6" s="106">
        <f>IF(ISERROR(IF(ISERROR(INDEX(Results!$B$2:$AA$226,MATCH(RankPoints!AJ$4&amp;RankPoints!$B5,Results!$P$2:$P$226,0),24)),INDEX(Results!$B$2:$AA$226,MATCH(RankPoints!AJ$4&amp;RankPoints!$B5,Results!$Q$2:$Q$226,0),25),INDEX(Results!$B$2:$AA$226,MATCH(RankPoints!AJ$4&amp;RankPoints!$B5,Results!$P$2:$P$226,0),24))),AJ5,IF(ISERROR(INDEX(Results!$B$2:$AA$226,MATCH(RankPoints!AJ$4&amp;RankPoints!$B5,Results!$P$2:$P$226,0),24)),INDEX(Results!$B$2:$AA$226,MATCH(RankPoints!AJ$4&amp;RankPoints!$B5,Results!$Q$2:$Q$226,0),25),INDEX(Results!$B$2:$AA$226,MATCH(RankPoints!AJ$4&amp;RankPoints!$B5,Results!$P$2:$P$226,0),24)))</f>
        <v>1493</v>
      </c>
      <c r="AK6" s="107">
        <f>IF(ISERROR(IF(ISERROR(INDEX(Results!$B$2:$AA$226,MATCH(RankPoints!AK$4&amp;RankPoints!$B5,Results!$P$2:$P$226,0),24)),INDEX(Results!$B$2:$AA$226,MATCH(RankPoints!AK$4&amp;RankPoints!$B5,Results!$Q$2:$Q$226,0),25),INDEX(Results!$B$2:$AA$226,MATCH(RankPoints!AK$4&amp;RankPoints!$B5,Results!$P$2:$P$226,0),24))),AK5,IF(ISERROR(INDEX(Results!$B$2:$AA$226,MATCH(RankPoints!AK$4&amp;RankPoints!$B5,Results!$P$2:$P$226,0),24)),INDEX(Results!$B$2:$AA$226,MATCH(RankPoints!AK$4&amp;RankPoints!$B5,Results!$Q$2:$Q$226,0),25),INDEX(Results!$B$2:$AA$226,MATCH(RankPoints!AK$4&amp;RankPoints!$B5,Results!$P$2:$P$226,0),24)))</f>
        <v>1472</v>
      </c>
    </row>
    <row r="7" spans="2:37" ht="12.75">
      <c r="B7" s="114">
        <f aca="true" t="shared" si="0" ref="B7:B16">B6+1</f>
        <v>3</v>
      </c>
      <c r="C7" s="104">
        <f>IF(ISERROR(IF(ISERROR(INDEX(Results!$B$2:$AA$226,MATCH(RankPoints!C$4&amp;RankPoints!$B6,Results!$P$2:$P$226,0),24)),INDEX(Results!$B$2:$AA$226,MATCH(RankPoints!C$4&amp;RankPoints!$B6,Results!$Q$2:$Q$226,0),25),INDEX(Results!$B$2:$AA$226,MATCH(RankPoints!C$4&amp;RankPoints!$B6,Results!$P$2:$P$226,0),24))),C6,IF(ISERROR(INDEX(Results!$B$2:$AA$226,MATCH(RankPoints!C$4&amp;RankPoints!$B6,Results!$P$2:$P$226,0),24)),INDEX(Results!$B$2:$AA$226,MATCH(RankPoints!C$4&amp;RankPoints!$B6,Results!$Q$2:$Q$226,0),25),INDEX(Results!$B$2:$AA$226,MATCH(RankPoints!C$4&amp;RankPoints!$B6,Results!$P$2:$P$226,0),24)))</f>
        <v>1500</v>
      </c>
      <c r="D7" s="106">
        <f>IF(ISERROR(IF(ISERROR(INDEX(Results!$B$2:$AA$226,MATCH(RankPoints!D$4&amp;RankPoints!$B6,Results!$P$2:$P$226,0),24)),INDEX(Results!$B$2:$AA$226,MATCH(RankPoints!D$4&amp;RankPoints!$B6,Results!$Q$2:$Q$226,0),25),INDEX(Results!$B$2:$AA$226,MATCH(RankPoints!D$4&amp;RankPoints!$B6,Results!$P$2:$P$226,0),24))),D6,IF(ISERROR(INDEX(Results!$B$2:$AA$226,MATCH(RankPoints!D$4&amp;RankPoints!$B6,Results!$P$2:$P$226,0),24)),INDEX(Results!$B$2:$AA$226,MATCH(RankPoints!D$4&amp;RankPoints!$B6,Results!$Q$2:$Q$226,0),25),INDEX(Results!$B$2:$AA$226,MATCH(RankPoints!D$4&amp;RankPoints!$B6,Results!$P$2:$P$226,0),24)))</f>
        <v>1651</v>
      </c>
      <c r="E7" s="106">
        <f>IF(ISERROR(IF(ISERROR(INDEX(Results!$B$2:$AA$226,MATCH(RankPoints!E$4&amp;RankPoints!$B6,Results!$P$2:$P$226,0),24)),INDEX(Results!$B$2:$AA$226,MATCH(RankPoints!E$4&amp;RankPoints!$B6,Results!$Q$2:$Q$226,0),25),INDEX(Results!$B$2:$AA$226,MATCH(RankPoints!E$4&amp;RankPoints!$B6,Results!$P$2:$P$226,0),24))),E6,IF(ISERROR(INDEX(Results!$B$2:$AA$226,MATCH(RankPoints!E$4&amp;RankPoints!$B6,Results!$P$2:$P$226,0),24)),INDEX(Results!$B$2:$AA$226,MATCH(RankPoints!E$4&amp;RankPoints!$B6,Results!$Q$2:$Q$226,0),25),INDEX(Results!$B$2:$AA$226,MATCH(RankPoints!E$4&amp;RankPoints!$B6,Results!$P$2:$P$226,0),24)))</f>
        <v>1731</v>
      </c>
      <c r="F7" s="50">
        <f>IF(ISERROR(IF(ISERROR(INDEX(Results!$B$2:$AA$226,MATCH(RankPoints!F$4&amp;RankPoints!$B6,Results!$P$2:$P$226,0),24)),INDEX(Results!$B$2:$AA$226,MATCH(RankPoints!F$4&amp;RankPoints!$B6,Results!$Q$2:$Q$226,0),25),INDEX(Results!$B$2:$AA$226,MATCH(RankPoints!F$4&amp;RankPoints!$B6,Results!$P$2:$P$226,0),24))),F6,IF(ISERROR(INDEX(Results!$B$2:$AA$226,MATCH(RankPoints!F$4&amp;RankPoints!$B6,Results!$P$2:$P$226,0),24)),INDEX(Results!$B$2:$AA$226,MATCH(RankPoints!F$4&amp;RankPoints!$B6,Results!$Q$2:$Q$226,0),25),INDEX(Results!$B$2:$AA$226,MATCH(RankPoints!F$4&amp;RankPoints!$B6,Results!$P$2:$P$226,0),24)))</f>
        <v>1500</v>
      </c>
      <c r="G7" s="50">
        <f>IF(ISERROR(IF(ISERROR(INDEX(Results!$B$2:$AA$226,MATCH(RankPoints!G$4&amp;RankPoints!$B6,Results!$P$2:$P$226,0),24)),INDEX(Results!$B$2:$AA$226,MATCH(RankPoints!G$4&amp;RankPoints!$B6,Results!$Q$2:$Q$226,0),25),INDEX(Results!$B$2:$AA$226,MATCH(RankPoints!G$4&amp;RankPoints!$B6,Results!$P$2:$P$226,0),24))),G6,IF(ISERROR(INDEX(Results!$B$2:$AA$226,MATCH(RankPoints!G$4&amp;RankPoints!$B6,Results!$P$2:$P$226,0),24)),INDEX(Results!$B$2:$AA$226,MATCH(RankPoints!G$4&amp;RankPoints!$B6,Results!$Q$2:$Q$226,0),25),INDEX(Results!$B$2:$AA$226,MATCH(RankPoints!G$4&amp;RankPoints!$B6,Results!$P$2:$P$226,0),24)))</f>
        <v>0</v>
      </c>
      <c r="H7" s="50">
        <f>IF(ISERROR(IF(ISERROR(INDEX(Results!$B$2:$AA$226,MATCH(RankPoints!H$4&amp;RankPoints!$B6,Results!$P$2:$P$226,0),24)),INDEX(Results!$B$2:$AA$226,MATCH(RankPoints!H$4&amp;RankPoints!$B6,Results!$Q$2:$Q$226,0),25),INDEX(Results!$B$2:$AA$226,MATCH(RankPoints!H$4&amp;RankPoints!$B6,Results!$P$2:$P$226,0),24))),H6,IF(ISERROR(INDEX(Results!$B$2:$AA$226,MATCH(RankPoints!H$4&amp;RankPoints!$B6,Results!$P$2:$P$226,0),24)),INDEX(Results!$B$2:$AA$226,MATCH(RankPoints!H$4&amp;RankPoints!$B6,Results!$Q$2:$Q$226,0),25),INDEX(Results!$B$2:$AA$226,MATCH(RankPoints!H$4&amp;RankPoints!$B6,Results!$P$2:$P$226,0),24)))</f>
        <v>1516</v>
      </c>
      <c r="I7" s="105">
        <f>IF(ISERROR(IF(ISERROR(INDEX(Results!$B$2:$AA$226,MATCH(RankPoints!I$4&amp;RankPoints!$B6,Results!$P$2:$P$226,0),24)),INDEX(Results!$B$2:$AA$226,MATCH(RankPoints!I$4&amp;RankPoints!$B6,Results!$Q$2:$Q$226,0),25),INDEX(Results!$B$2:$AA$226,MATCH(RankPoints!I$4&amp;RankPoints!$B6,Results!$P$2:$P$226,0),24))),I6,IF(ISERROR(INDEX(Results!$B$2:$AA$226,MATCH(RankPoints!I$4&amp;RankPoints!$B6,Results!$P$2:$P$226,0),24)),INDEX(Results!$B$2:$AA$226,MATCH(RankPoints!I$4&amp;RankPoints!$B6,Results!$Q$2:$Q$226,0),25),INDEX(Results!$B$2:$AA$226,MATCH(RankPoints!I$4&amp;RankPoints!$B6,Results!$P$2:$P$226,0),24)))</f>
        <v>1500</v>
      </c>
      <c r="J7" s="106">
        <f>IF(ISERROR(IF(ISERROR(INDEX(Results!$B$2:$AA$226,MATCH(RankPoints!J$4&amp;RankPoints!$B6,Results!$P$2:$P$226,0),24)),INDEX(Results!$B$2:$AA$226,MATCH(RankPoints!J$4&amp;RankPoints!$B6,Results!$Q$2:$Q$226,0),25),INDEX(Results!$B$2:$AA$226,MATCH(RankPoints!J$4&amp;RankPoints!$B6,Results!$P$2:$P$226,0),24))),J6,IF(ISERROR(INDEX(Results!$B$2:$AA$226,MATCH(RankPoints!J$4&amp;RankPoints!$B6,Results!$P$2:$P$226,0),24)),INDEX(Results!$B$2:$AA$226,MATCH(RankPoints!J$4&amp;RankPoints!$B6,Results!$Q$2:$Q$226,0),25),INDEX(Results!$B$2:$AA$226,MATCH(RankPoints!J$4&amp;RankPoints!$B6,Results!$P$2:$P$226,0),24)))</f>
        <v>1807</v>
      </c>
      <c r="K7" s="50">
        <f>IF(ISERROR(IF(ISERROR(INDEX(Results!$B$2:$AA$226,MATCH(RankPoints!K$4&amp;RankPoints!$B6,Results!$P$2:$P$226,0),24)),INDEX(Results!$B$2:$AA$226,MATCH(RankPoints!K$4&amp;RankPoints!$B6,Results!$Q$2:$Q$226,0),25),INDEX(Results!$B$2:$AA$226,MATCH(RankPoints!K$4&amp;RankPoints!$B6,Results!$P$2:$P$226,0),24))),K6,IF(ISERROR(INDEX(Results!$B$2:$AA$226,MATCH(RankPoints!K$4&amp;RankPoints!$B6,Results!$P$2:$P$226,0),24)),INDEX(Results!$B$2:$AA$226,MATCH(RankPoints!K$4&amp;RankPoints!$B6,Results!$Q$2:$Q$226,0),25),INDEX(Results!$B$2:$AA$226,MATCH(RankPoints!K$4&amp;RankPoints!$B6,Results!$P$2:$P$226,0),24)))</f>
        <v>1500</v>
      </c>
      <c r="L7" s="50">
        <f>IF(ISERROR(IF(ISERROR(INDEX(Results!$B$2:$AA$226,MATCH(RankPoints!L$4&amp;RankPoints!$B6,Results!$P$2:$P$226,0),24)),INDEX(Results!$B$2:$AA$226,MATCH(RankPoints!L$4&amp;RankPoints!$B6,Results!$Q$2:$Q$226,0),25),INDEX(Results!$B$2:$AA$226,MATCH(RankPoints!L$4&amp;RankPoints!$B6,Results!$P$2:$P$226,0),24))),L6,IF(ISERROR(INDEX(Results!$B$2:$AA$226,MATCH(RankPoints!L$4&amp;RankPoints!$B6,Results!$P$2:$P$226,0),24)),INDEX(Results!$B$2:$AA$226,MATCH(RankPoints!L$4&amp;RankPoints!$B6,Results!$Q$2:$Q$226,0),25),INDEX(Results!$B$2:$AA$226,MATCH(RankPoints!L$4&amp;RankPoints!$B6,Results!$P$2:$P$226,0),24)))</f>
        <v>1500</v>
      </c>
      <c r="M7" s="106">
        <f>IF(ISERROR(IF(ISERROR(INDEX(Results!$B$2:$AA$226,MATCH(RankPoints!M$4&amp;RankPoints!$B6,Results!$P$2:$P$226,0),24)),INDEX(Results!$B$2:$AA$226,MATCH(RankPoints!M$4&amp;RankPoints!$B6,Results!$Q$2:$Q$226,0),25),INDEX(Results!$B$2:$AA$226,MATCH(RankPoints!M$4&amp;RankPoints!$B6,Results!$P$2:$P$226,0),24))),M6,IF(ISERROR(INDEX(Results!$B$2:$AA$226,MATCH(RankPoints!M$4&amp;RankPoints!$B6,Results!$P$2:$P$226,0),24)),INDEX(Results!$B$2:$AA$226,MATCH(RankPoints!M$4&amp;RankPoints!$B6,Results!$Q$2:$Q$226,0),25),INDEX(Results!$B$2:$AA$226,MATCH(RankPoints!M$4&amp;RankPoints!$B6,Results!$P$2:$P$226,0),24)))</f>
        <v>1650</v>
      </c>
      <c r="N7" s="106">
        <f>IF(ISERROR(IF(ISERROR(INDEX(Results!$B$2:$AA$226,MATCH(RankPoints!N$4&amp;RankPoints!$B6,Results!$P$2:$P$226,0),24)),INDEX(Results!$B$2:$AA$226,MATCH(RankPoints!N$4&amp;RankPoints!$B6,Results!$Q$2:$Q$226,0),25),INDEX(Results!$B$2:$AA$226,MATCH(RankPoints!N$4&amp;RankPoints!$B6,Results!$P$2:$P$226,0),24))),N6,IF(ISERROR(INDEX(Results!$B$2:$AA$226,MATCH(RankPoints!N$4&amp;RankPoints!$B6,Results!$P$2:$P$226,0),24)),INDEX(Results!$B$2:$AA$226,MATCH(RankPoints!N$4&amp;RankPoints!$B6,Results!$Q$2:$Q$226,0),25),INDEX(Results!$B$2:$AA$226,MATCH(RankPoints!N$4&amp;RankPoints!$B6,Results!$P$2:$P$226,0),24)))</f>
        <v>1380</v>
      </c>
      <c r="O7" s="50">
        <f>IF(ISERROR(IF(ISERROR(INDEX(Results!$B$2:$AA$226,MATCH(RankPoints!O$4&amp;RankPoints!$B6,Results!$P$2:$P$226,0),24)),INDEX(Results!$B$2:$AA$226,MATCH(RankPoints!O$4&amp;RankPoints!$B6,Results!$Q$2:$Q$226,0),25),INDEX(Results!$B$2:$AA$226,MATCH(RankPoints!O$4&amp;RankPoints!$B6,Results!$P$2:$P$226,0),24))),O6,IF(ISERROR(INDEX(Results!$B$2:$AA$226,MATCH(RankPoints!O$4&amp;RankPoints!$B6,Results!$P$2:$P$226,0),24)),INDEX(Results!$B$2:$AA$226,MATCH(RankPoints!O$4&amp;RankPoints!$B6,Results!$Q$2:$Q$226,0),25),INDEX(Results!$B$2:$AA$226,MATCH(RankPoints!O$4&amp;RankPoints!$B6,Results!$P$2:$P$226,0),24)))</f>
        <v>1500</v>
      </c>
      <c r="P7" s="105">
        <f>IF(ISERROR(IF(ISERROR(INDEX(Results!$B$2:$AA$226,MATCH(RankPoints!P$4&amp;RankPoints!$B6,Results!$P$2:$P$226,0),24)),INDEX(Results!$B$2:$AA$226,MATCH(RankPoints!P$4&amp;RankPoints!$B6,Results!$Q$2:$Q$226,0),25),INDEX(Results!$B$2:$AA$226,MATCH(RankPoints!P$4&amp;RankPoints!$B6,Results!$P$2:$P$226,0),24))),P6,IF(ISERROR(INDEX(Results!$B$2:$AA$226,MATCH(RankPoints!P$4&amp;RankPoints!$B6,Results!$P$2:$P$226,0),24)),INDEX(Results!$B$2:$AA$226,MATCH(RankPoints!P$4&amp;RankPoints!$B6,Results!$Q$2:$Q$226,0),25),INDEX(Results!$B$2:$AA$226,MATCH(RankPoints!P$4&amp;RankPoints!$B6,Results!$P$2:$P$226,0),24)))</f>
        <v>1500</v>
      </c>
      <c r="Q7" s="50">
        <f>IF(ISERROR(IF(ISERROR(INDEX(Results!$B$2:$AA$226,MATCH(RankPoints!Q$4&amp;RankPoints!$B6,Results!$P$2:$P$226,0),24)),INDEX(Results!$B$2:$AA$226,MATCH(RankPoints!Q$4&amp;RankPoints!$B6,Results!$Q$2:$Q$226,0),25),INDEX(Results!$B$2:$AA$226,MATCH(RankPoints!Q$4&amp;RankPoints!$B6,Results!$P$2:$P$226,0),24))),Q6,IF(ISERROR(INDEX(Results!$B$2:$AA$226,MATCH(RankPoints!Q$4&amp;RankPoints!$B6,Results!$P$2:$P$226,0),24)),INDEX(Results!$B$2:$AA$226,MATCH(RankPoints!Q$4&amp;RankPoints!$B6,Results!$Q$2:$Q$226,0),25),INDEX(Results!$B$2:$AA$226,MATCH(RankPoints!Q$4&amp;RankPoints!$B6,Results!$P$2:$P$226,0),24)))</f>
        <v>1500</v>
      </c>
      <c r="R7" s="50">
        <f>IF(ISERROR(IF(ISERROR(INDEX(Results!$B$2:$AA$226,MATCH(RankPoints!R$4&amp;RankPoints!$B6,Results!$P$2:$P$226,0),24)),INDEX(Results!$B$2:$AA$226,MATCH(RankPoints!R$4&amp;RankPoints!$B6,Results!$Q$2:$Q$226,0),25),INDEX(Results!$B$2:$AA$226,MATCH(RankPoints!R$4&amp;RankPoints!$B6,Results!$P$2:$P$226,0),24))),R6,IF(ISERROR(INDEX(Results!$B$2:$AA$226,MATCH(RankPoints!R$4&amp;RankPoints!$B6,Results!$P$2:$P$226,0),24)),INDEX(Results!$B$2:$AA$226,MATCH(RankPoints!R$4&amp;RankPoints!$B6,Results!$Q$2:$Q$226,0),25),INDEX(Results!$B$2:$AA$226,MATCH(RankPoints!R$4&amp;RankPoints!$B6,Results!$P$2:$P$226,0),24)))</f>
        <v>1500</v>
      </c>
      <c r="S7" s="50">
        <f>IF(ISERROR(IF(ISERROR(INDEX(Results!$B$2:$AA$226,MATCH(RankPoints!S$4&amp;RankPoints!$B6,Results!$P$2:$P$226,0),24)),INDEX(Results!$B$2:$AA$226,MATCH(RankPoints!S$4&amp;RankPoints!$B6,Results!$Q$2:$Q$226,0),25),INDEX(Results!$B$2:$AA$226,MATCH(RankPoints!S$4&amp;RankPoints!$B6,Results!$P$2:$P$226,0),24))),S6,IF(ISERROR(INDEX(Results!$B$2:$AA$226,MATCH(RankPoints!S$4&amp;RankPoints!$B6,Results!$P$2:$P$226,0),24)),INDEX(Results!$B$2:$AA$226,MATCH(RankPoints!S$4&amp;RankPoints!$B6,Results!$Q$2:$Q$226,0),25),INDEX(Results!$B$2:$AA$226,MATCH(RankPoints!S$4&amp;RankPoints!$B6,Results!$P$2:$P$226,0),24)))</f>
        <v>1500</v>
      </c>
      <c r="T7" s="50">
        <f>IF(ISERROR(IF(ISERROR(INDEX(Results!$B$2:$AA$226,MATCH(RankPoints!T$4&amp;RankPoints!$B6,Results!$P$2:$P$226,0),24)),INDEX(Results!$B$2:$AA$226,MATCH(RankPoints!T$4&amp;RankPoints!$B6,Results!$Q$2:$Q$226,0),25),INDEX(Results!$B$2:$AA$226,MATCH(RankPoints!T$4&amp;RankPoints!$B6,Results!$P$2:$P$226,0),24))),T6,IF(ISERROR(INDEX(Results!$B$2:$AA$226,MATCH(RankPoints!T$4&amp;RankPoints!$B6,Results!$P$2:$P$226,0),24)),INDEX(Results!$B$2:$AA$226,MATCH(RankPoints!T$4&amp;RankPoints!$B6,Results!$Q$2:$Q$226,0),25),INDEX(Results!$B$2:$AA$226,MATCH(RankPoints!T$4&amp;RankPoints!$B6,Results!$P$2:$P$226,0),24)))</f>
        <v>1500</v>
      </c>
      <c r="U7" s="50">
        <f>IF(ISERROR(IF(ISERROR(INDEX(Results!$B$2:$AA$226,MATCH(RankPoints!U$4&amp;RankPoints!$B6,Results!$P$2:$P$226,0),24)),INDEX(Results!$B$2:$AA$226,MATCH(RankPoints!U$4&amp;RankPoints!$B6,Results!$Q$2:$Q$226,0),25),INDEX(Results!$B$2:$AA$226,MATCH(RankPoints!U$4&amp;RankPoints!$B6,Results!$P$2:$P$226,0),24))),U6,IF(ISERROR(INDEX(Results!$B$2:$AA$226,MATCH(RankPoints!U$4&amp;RankPoints!$B6,Results!$P$2:$P$226,0),24)),INDEX(Results!$B$2:$AA$226,MATCH(RankPoints!U$4&amp;RankPoints!$B6,Results!$Q$2:$Q$226,0),25),INDEX(Results!$B$2:$AA$226,MATCH(RankPoints!U$4&amp;RankPoints!$B6,Results!$P$2:$P$226,0),24)))</f>
        <v>1500</v>
      </c>
      <c r="V7" s="50">
        <f>IF(ISERROR(IF(ISERROR(INDEX(Results!$B$2:$AA$226,MATCH(RankPoints!V$4&amp;RankPoints!$B6,Results!$P$2:$P$226,0),24)),INDEX(Results!$B$2:$AA$226,MATCH(RankPoints!V$4&amp;RankPoints!$B6,Results!$Q$2:$Q$226,0),25),INDEX(Results!$B$2:$AA$226,MATCH(RankPoints!V$4&amp;RankPoints!$B6,Results!$P$2:$P$226,0),24))),V6,IF(ISERROR(INDEX(Results!$B$2:$AA$226,MATCH(RankPoints!V$4&amp;RankPoints!$B6,Results!$P$2:$P$226,0),24)),INDEX(Results!$B$2:$AA$226,MATCH(RankPoints!V$4&amp;RankPoints!$B6,Results!$Q$2:$Q$226,0),25),INDEX(Results!$B$2:$AA$226,MATCH(RankPoints!V$4&amp;RankPoints!$B6,Results!$P$2:$P$226,0),24)))</f>
        <v>1500</v>
      </c>
      <c r="W7" s="105">
        <f>IF(ISERROR(IF(ISERROR(INDEX(Results!$B$2:$AA$226,MATCH(RankPoints!W$4&amp;RankPoints!$B6,Results!$P$2:$P$226,0),24)),INDEX(Results!$B$2:$AA$226,MATCH(RankPoints!W$4&amp;RankPoints!$B6,Results!$Q$2:$Q$226,0),25),INDEX(Results!$B$2:$AA$226,MATCH(RankPoints!W$4&amp;RankPoints!$B6,Results!$P$2:$P$226,0),24))),W6,IF(ISERROR(INDEX(Results!$B$2:$AA$226,MATCH(RankPoints!W$4&amp;RankPoints!$B6,Results!$P$2:$P$226,0),24)),INDEX(Results!$B$2:$AA$226,MATCH(RankPoints!W$4&amp;RankPoints!$B6,Results!$Q$2:$Q$226,0),25),INDEX(Results!$B$2:$AA$226,MATCH(RankPoints!W$4&amp;RankPoints!$B6,Results!$P$2:$P$226,0),24)))</f>
        <v>1500</v>
      </c>
      <c r="X7" s="106">
        <f>IF(ISERROR(IF(ISERROR(INDEX(Results!$B$2:$AA$226,MATCH(RankPoints!X$4&amp;RankPoints!$B6,Results!$P$2:$P$226,0),24)),INDEX(Results!$B$2:$AA$226,MATCH(RankPoints!X$4&amp;RankPoints!$B6,Results!$Q$2:$Q$226,0),25),INDEX(Results!$B$2:$AA$226,MATCH(RankPoints!X$4&amp;RankPoints!$B6,Results!$P$2:$P$226,0),24))),X6,IF(ISERROR(INDEX(Results!$B$2:$AA$226,MATCH(RankPoints!X$4&amp;RankPoints!$B6,Results!$P$2:$P$226,0),24)),INDEX(Results!$B$2:$AA$226,MATCH(RankPoints!X$4&amp;RankPoints!$B6,Results!$Q$2:$Q$226,0),25),INDEX(Results!$B$2:$AA$226,MATCH(RankPoints!X$4&amp;RankPoints!$B6,Results!$P$2:$P$226,0),24)))</f>
        <v>1546</v>
      </c>
      <c r="Y7" s="50">
        <f>IF(ISERROR(IF(ISERROR(INDEX(Results!$B$2:$AA$226,MATCH(RankPoints!Y$4&amp;RankPoints!$B6,Results!$P$2:$P$226,0),24)),INDEX(Results!$B$2:$AA$226,MATCH(RankPoints!Y$4&amp;RankPoints!$B6,Results!$Q$2:$Q$226,0),25),INDEX(Results!$B$2:$AA$226,MATCH(RankPoints!Y$4&amp;RankPoints!$B6,Results!$P$2:$P$226,0),24))),Y6,IF(ISERROR(INDEX(Results!$B$2:$AA$226,MATCH(RankPoints!Y$4&amp;RankPoints!$B6,Results!$P$2:$P$226,0),24)),INDEX(Results!$B$2:$AA$226,MATCH(RankPoints!Y$4&amp;RankPoints!$B6,Results!$Q$2:$Q$226,0),25),INDEX(Results!$B$2:$AA$226,MATCH(RankPoints!Y$4&amp;RankPoints!$B6,Results!$P$2:$P$226,0),24)))</f>
        <v>21</v>
      </c>
      <c r="Z7" s="50">
        <f>IF(ISERROR(IF(ISERROR(INDEX(Results!$B$2:$AA$226,MATCH(RankPoints!Z$4&amp;RankPoints!$B6,Results!$P$2:$P$226,0),24)),INDEX(Results!$B$2:$AA$226,MATCH(RankPoints!Z$4&amp;RankPoints!$B6,Results!$Q$2:$Q$226,0),25),INDEX(Results!$B$2:$AA$226,MATCH(RankPoints!Z$4&amp;RankPoints!$B6,Results!$P$2:$P$226,0),24))),Z6,IF(ISERROR(INDEX(Results!$B$2:$AA$226,MATCH(RankPoints!Z$4&amp;RankPoints!$B6,Results!$P$2:$P$226,0),24)),INDEX(Results!$B$2:$AA$226,MATCH(RankPoints!Z$4&amp;RankPoints!$B6,Results!$Q$2:$Q$226,0),25),INDEX(Results!$B$2:$AA$226,MATCH(RankPoints!Z$4&amp;RankPoints!$B6,Results!$P$2:$P$226,0),24)))</f>
        <v>-1545</v>
      </c>
      <c r="AA7" s="50">
        <f>IF(ISERROR(IF(ISERROR(INDEX(Results!$B$2:$AA$226,MATCH(RankPoints!AA$4&amp;RankPoints!$B6,Results!$P$2:$P$226,0),24)),INDEX(Results!$B$2:$AA$226,MATCH(RankPoints!AA$4&amp;RankPoints!$B6,Results!$Q$2:$Q$226,0),25),INDEX(Results!$B$2:$AA$226,MATCH(RankPoints!AA$4&amp;RankPoints!$B6,Results!$P$2:$P$226,0),24))),AA6,IF(ISERROR(INDEX(Results!$B$2:$AA$226,MATCH(RankPoints!AA$4&amp;RankPoints!$B6,Results!$P$2:$P$226,0),24)),INDEX(Results!$B$2:$AA$226,MATCH(RankPoints!AA$4&amp;RankPoints!$B6,Results!$Q$2:$Q$226,0),25),INDEX(Results!$B$2:$AA$226,MATCH(RankPoints!AA$4&amp;RankPoints!$B6,Results!$P$2:$P$226,0),24)))</f>
        <v>1500</v>
      </c>
      <c r="AB7" s="106">
        <f>IF(ISERROR(IF(ISERROR(INDEX(Results!$B$2:$AA$226,MATCH(RankPoints!AB$4&amp;RankPoints!$B6,Results!$P$2:$P$226,0),24)),INDEX(Results!$B$2:$AA$226,MATCH(RankPoints!AB$4&amp;RankPoints!$B6,Results!$Q$2:$Q$226,0),25),INDEX(Results!$B$2:$AA$226,MATCH(RankPoints!AB$4&amp;RankPoints!$B6,Results!$P$2:$P$226,0),24))),AB6,IF(ISERROR(INDEX(Results!$B$2:$AA$226,MATCH(RankPoints!AB$4&amp;RankPoints!$B6,Results!$P$2:$P$226,0),24)),INDEX(Results!$B$2:$AA$226,MATCH(RankPoints!AB$4&amp;RankPoints!$B6,Results!$Q$2:$Q$226,0),25),INDEX(Results!$B$2:$AA$226,MATCH(RankPoints!AB$4&amp;RankPoints!$B6,Results!$P$2:$P$226,0),24)))</f>
        <v>1599</v>
      </c>
      <c r="AC7" s="50">
        <f>IF(ISERROR(IF(ISERROR(INDEX(Results!$B$2:$AA$226,MATCH(RankPoints!AC$4&amp;RankPoints!$B6,Results!$P$2:$P$226,0),24)),INDEX(Results!$B$2:$AA$226,MATCH(RankPoints!AC$4&amp;RankPoints!$B6,Results!$Q$2:$Q$226,0),25),INDEX(Results!$B$2:$AA$226,MATCH(RankPoints!AC$4&amp;RankPoints!$B6,Results!$P$2:$P$226,0),24))),AC6,IF(ISERROR(INDEX(Results!$B$2:$AA$226,MATCH(RankPoints!AC$4&amp;RankPoints!$B6,Results!$P$2:$P$226,0),24)),INDEX(Results!$B$2:$AA$226,MATCH(RankPoints!AC$4&amp;RankPoints!$B6,Results!$Q$2:$Q$226,0),25),INDEX(Results!$B$2:$AA$226,MATCH(RankPoints!AC$4&amp;RankPoints!$B6,Results!$P$2:$P$226,0),24)))</f>
        <v>1500</v>
      </c>
      <c r="AD7" s="107">
        <f>IF(ISERROR(IF(ISERROR(INDEX(Results!$B$2:$AA$226,MATCH(RankPoints!AD$4&amp;RankPoints!$B6,Results!$P$2:$P$226,0),24)),INDEX(Results!$B$2:$AA$226,MATCH(RankPoints!AD$4&amp;RankPoints!$B6,Results!$Q$2:$Q$226,0),25),INDEX(Results!$B$2:$AA$226,MATCH(RankPoints!AD$4&amp;RankPoints!$B6,Results!$P$2:$P$226,0),24))),AD6,IF(ISERROR(INDEX(Results!$B$2:$AA$226,MATCH(RankPoints!AD$4&amp;RankPoints!$B6,Results!$P$2:$P$226,0),24)),INDEX(Results!$B$2:$AA$226,MATCH(RankPoints!AD$4&amp;RankPoints!$B6,Results!$Q$2:$Q$226,0),25),INDEX(Results!$B$2:$AA$226,MATCH(RankPoints!AD$4&amp;RankPoints!$B6,Results!$P$2:$P$226,0),24)))</f>
        <v>1500</v>
      </c>
      <c r="AE7" s="106">
        <f>IF(ISERROR(IF(ISERROR(INDEX(Results!$B$2:$AA$226,MATCH(RankPoints!AE$4&amp;RankPoints!$B6,Results!$P$2:$P$226,0),24)),INDEX(Results!$B$2:$AA$226,MATCH(RankPoints!AE$4&amp;RankPoints!$B6,Results!$Q$2:$Q$226,0),25),INDEX(Results!$B$2:$AA$226,MATCH(RankPoints!AE$4&amp;RankPoints!$B6,Results!$P$2:$P$226,0),24))),AE6,IF(ISERROR(INDEX(Results!$B$2:$AA$226,MATCH(RankPoints!AE$4&amp;RankPoints!$B6,Results!$P$2:$P$226,0),24)),INDEX(Results!$B$2:$AA$226,MATCH(RankPoints!AE$4&amp;RankPoints!$B6,Results!$Q$2:$Q$226,0),25),INDEX(Results!$B$2:$AA$226,MATCH(RankPoints!AE$4&amp;RankPoints!$B6,Results!$P$2:$P$226,0),24)))</f>
        <v>1798</v>
      </c>
      <c r="AF7" s="106">
        <f>IF(ISERROR(IF(ISERROR(INDEX(Results!$B$2:$AA$226,MATCH(RankPoints!AF$4&amp;RankPoints!$B6,Results!$P$2:$P$226,0),24)),INDEX(Results!$B$2:$AA$226,MATCH(RankPoints!AF$4&amp;RankPoints!$B6,Results!$Q$2:$Q$226,0),25),INDEX(Results!$B$2:$AA$226,MATCH(RankPoints!AF$4&amp;RankPoints!$B6,Results!$P$2:$P$226,0),24))),AF6,IF(ISERROR(INDEX(Results!$B$2:$AA$226,MATCH(RankPoints!AF$4&amp;RankPoints!$B6,Results!$P$2:$P$226,0),24)),INDEX(Results!$B$2:$AA$226,MATCH(RankPoints!AF$4&amp;RankPoints!$B6,Results!$Q$2:$Q$226,0),25),INDEX(Results!$B$2:$AA$226,MATCH(RankPoints!AF$4&amp;RankPoints!$B6,Results!$P$2:$P$226,0),24)))</f>
        <v>1411</v>
      </c>
      <c r="AG7" s="50">
        <f>IF(ISERROR(IF(ISERROR(INDEX(Results!$B$2:$AA$226,MATCH(RankPoints!AG$4&amp;RankPoints!$B6,Results!$P$2:$P$226,0),24)),INDEX(Results!$B$2:$AA$226,MATCH(RankPoints!AG$4&amp;RankPoints!$B6,Results!$Q$2:$Q$226,0),25),INDEX(Results!$B$2:$AA$226,MATCH(RankPoints!AG$4&amp;RankPoints!$B6,Results!$P$2:$P$226,0),24))),AG6,IF(ISERROR(INDEX(Results!$B$2:$AA$226,MATCH(RankPoints!AG$4&amp;RankPoints!$B6,Results!$P$2:$P$226,0),24)),INDEX(Results!$B$2:$AA$226,MATCH(RankPoints!AG$4&amp;RankPoints!$B6,Results!$Q$2:$Q$226,0),25),INDEX(Results!$B$2:$AA$226,MATCH(RankPoints!AG$4&amp;RankPoints!$B6,Results!$P$2:$P$226,0),24)))</f>
        <v>351</v>
      </c>
      <c r="AH7" s="50">
        <f>IF(ISERROR(IF(ISERROR(INDEX(Results!$B$2:$AA$226,MATCH(RankPoints!AH$4&amp;RankPoints!$B6,Results!$P$2:$P$226,0),24)),INDEX(Results!$B$2:$AA$226,MATCH(RankPoints!AH$4&amp;RankPoints!$B6,Results!$Q$2:$Q$226,0),25),INDEX(Results!$B$2:$AA$226,MATCH(RankPoints!AH$4&amp;RankPoints!$B6,Results!$P$2:$P$226,0),24))),AH6,IF(ISERROR(INDEX(Results!$B$2:$AA$226,MATCH(RankPoints!AH$4&amp;RankPoints!$B6,Results!$P$2:$P$226,0),24)),INDEX(Results!$B$2:$AA$226,MATCH(RankPoints!AH$4&amp;RankPoints!$B6,Results!$Q$2:$Q$226,0),25),INDEX(Results!$B$2:$AA$226,MATCH(RankPoints!AH$4&amp;RankPoints!$B6,Results!$P$2:$P$226,0),24)))</f>
        <v>1500</v>
      </c>
      <c r="AI7" s="50">
        <f>IF(ISERROR(IF(ISERROR(INDEX(Results!$B$2:$AA$226,MATCH(RankPoints!AI$4&amp;RankPoints!$B6,Results!$P$2:$P$226,0),24)),INDEX(Results!$B$2:$AA$226,MATCH(RankPoints!AI$4&amp;RankPoints!$B6,Results!$Q$2:$Q$226,0),25),INDEX(Results!$B$2:$AA$226,MATCH(RankPoints!AI$4&amp;RankPoints!$B6,Results!$P$2:$P$226,0),24))),AI6,IF(ISERROR(INDEX(Results!$B$2:$AA$226,MATCH(RankPoints!AI$4&amp;RankPoints!$B6,Results!$P$2:$P$226,0),24)),INDEX(Results!$B$2:$AA$226,MATCH(RankPoints!AI$4&amp;RankPoints!$B6,Results!$Q$2:$Q$226,0),25),INDEX(Results!$B$2:$AA$226,MATCH(RankPoints!AI$4&amp;RankPoints!$B6,Results!$P$2:$P$226,0),24)))</f>
        <v>1500</v>
      </c>
      <c r="AJ7" s="106">
        <f>IF(ISERROR(IF(ISERROR(INDEX(Results!$B$2:$AA$226,MATCH(RankPoints!AJ$4&amp;RankPoints!$B6,Results!$P$2:$P$226,0),24)),INDEX(Results!$B$2:$AA$226,MATCH(RankPoints!AJ$4&amp;RankPoints!$B6,Results!$Q$2:$Q$226,0),25),INDEX(Results!$B$2:$AA$226,MATCH(RankPoints!AJ$4&amp;RankPoints!$B6,Results!$P$2:$P$226,0),24))),AJ6,IF(ISERROR(INDEX(Results!$B$2:$AA$226,MATCH(RankPoints!AJ$4&amp;RankPoints!$B6,Results!$P$2:$P$226,0),24)),INDEX(Results!$B$2:$AA$226,MATCH(RankPoints!AJ$4&amp;RankPoints!$B6,Results!$Q$2:$Q$226,0),25),INDEX(Results!$B$2:$AA$226,MATCH(RankPoints!AJ$4&amp;RankPoints!$B6,Results!$P$2:$P$226,0),24)))</f>
        <v>1493</v>
      </c>
      <c r="AK7" s="107">
        <f>IF(ISERROR(IF(ISERROR(INDEX(Results!$B$2:$AA$226,MATCH(RankPoints!AK$4&amp;RankPoints!$B6,Results!$P$2:$P$226,0),24)),INDEX(Results!$B$2:$AA$226,MATCH(RankPoints!AK$4&amp;RankPoints!$B6,Results!$Q$2:$Q$226,0),25),INDEX(Results!$B$2:$AA$226,MATCH(RankPoints!AK$4&amp;RankPoints!$B6,Results!$P$2:$P$226,0),24))),AK6,IF(ISERROR(INDEX(Results!$B$2:$AA$226,MATCH(RankPoints!AK$4&amp;RankPoints!$B6,Results!$P$2:$P$226,0),24)),INDEX(Results!$B$2:$AA$226,MATCH(RankPoints!AK$4&amp;RankPoints!$B6,Results!$Q$2:$Q$226,0),25),INDEX(Results!$B$2:$AA$226,MATCH(RankPoints!AK$4&amp;RankPoints!$B6,Results!$P$2:$P$226,0),24)))</f>
        <v>1472</v>
      </c>
    </row>
    <row r="8" spans="2:37" ht="12.75">
      <c r="B8" s="114">
        <f t="shared" si="0"/>
        <v>4</v>
      </c>
      <c r="C8" s="104">
        <f>IF(ISERROR(IF(ISERROR(INDEX(Results!$B$2:$AA$226,MATCH(RankPoints!C$4&amp;RankPoints!$B7,Results!$P$2:$P$226,0),24)),INDEX(Results!$B$2:$AA$226,MATCH(RankPoints!C$4&amp;RankPoints!$B7,Results!$Q$2:$Q$226,0),25),INDEX(Results!$B$2:$AA$226,MATCH(RankPoints!C$4&amp;RankPoints!$B7,Results!$P$2:$P$226,0),24))),C7,IF(ISERROR(INDEX(Results!$B$2:$AA$226,MATCH(RankPoints!C$4&amp;RankPoints!$B7,Results!$P$2:$P$226,0),24)),INDEX(Results!$B$2:$AA$226,MATCH(RankPoints!C$4&amp;RankPoints!$B7,Results!$Q$2:$Q$226,0),25),INDEX(Results!$B$2:$AA$226,MATCH(RankPoints!C$4&amp;RankPoints!$B7,Results!$P$2:$P$226,0),24)))</f>
        <v>1500</v>
      </c>
      <c r="D8" s="106">
        <f>IF(ISERROR(IF(ISERROR(INDEX(Results!$B$2:$AA$226,MATCH(RankPoints!D$4&amp;RankPoints!$B7,Results!$P$2:$P$226,0),24)),INDEX(Results!$B$2:$AA$226,MATCH(RankPoints!D$4&amp;RankPoints!$B7,Results!$Q$2:$Q$226,0),25),INDEX(Results!$B$2:$AA$226,MATCH(RankPoints!D$4&amp;RankPoints!$B7,Results!$P$2:$P$226,0),24))),D7,IF(ISERROR(INDEX(Results!$B$2:$AA$226,MATCH(RankPoints!D$4&amp;RankPoints!$B7,Results!$P$2:$P$226,0),24)),INDEX(Results!$B$2:$AA$226,MATCH(RankPoints!D$4&amp;RankPoints!$B7,Results!$Q$2:$Q$226,0),25),INDEX(Results!$B$2:$AA$226,MATCH(RankPoints!D$4&amp;RankPoints!$B7,Results!$P$2:$P$226,0),24)))</f>
        <v>1651</v>
      </c>
      <c r="E8" s="106">
        <f>IF(ISERROR(IF(ISERROR(INDEX(Results!$B$2:$AA$226,MATCH(RankPoints!E$4&amp;RankPoints!$B7,Results!$P$2:$P$226,0),24)),INDEX(Results!$B$2:$AA$226,MATCH(RankPoints!E$4&amp;RankPoints!$B7,Results!$Q$2:$Q$226,0),25),INDEX(Results!$B$2:$AA$226,MATCH(RankPoints!E$4&amp;RankPoints!$B7,Results!$P$2:$P$226,0),24))),E7,IF(ISERROR(INDEX(Results!$B$2:$AA$226,MATCH(RankPoints!E$4&amp;RankPoints!$B7,Results!$P$2:$P$226,0),24)),INDEX(Results!$B$2:$AA$226,MATCH(RankPoints!E$4&amp;RankPoints!$B7,Results!$Q$2:$Q$226,0),25),INDEX(Results!$B$2:$AA$226,MATCH(RankPoints!E$4&amp;RankPoints!$B7,Results!$P$2:$P$226,0),24)))</f>
        <v>1731</v>
      </c>
      <c r="F8" s="50">
        <f>IF(ISERROR(IF(ISERROR(INDEX(Results!$B$2:$AA$226,MATCH(RankPoints!F$4&amp;RankPoints!$B7,Results!$P$2:$P$226,0),24)),INDEX(Results!$B$2:$AA$226,MATCH(RankPoints!F$4&amp;RankPoints!$B7,Results!$Q$2:$Q$226,0),25),INDEX(Results!$B$2:$AA$226,MATCH(RankPoints!F$4&amp;RankPoints!$B7,Results!$P$2:$P$226,0),24))),F7,IF(ISERROR(INDEX(Results!$B$2:$AA$226,MATCH(RankPoints!F$4&amp;RankPoints!$B7,Results!$P$2:$P$226,0),24)),INDEX(Results!$B$2:$AA$226,MATCH(RankPoints!F$4&amp;RankPoints!$B7,Results!$Q$2:$Q$226,0),25),INDEX(Results!$B$2:$AA$226,MATCH(RankPoints!F$4&amp;RankPoints!$B7,Results!$P$2:$P$226,0),24)))</f>
        <v>1500</v>
      </c>
      <c r="G8" s="50">
        <f>IF(ISERROR(IF(ISERROR(INDEX(Results!$B$2:$AA$226,MATCH(RankPoints!G$4&amp;RankPoints!$B7,Results!$P$2:$P$226,0),24)),INDEX(Results!$B$2:$AA$226,MATCH(RankPoints!G$4&amp;RankPoints!$B7,Results!$Q$2:$Q$226,0),25),INDEX(Results!$B$2:$AA$226,MATCH(RankPoints!G$4&amp;RankPoints!$B7,Results!$P$2:$P$226,0),24))),G7,IF(ISERROR(INDEX(Results!$B$2:$AA$226,MATCH(RankPoints!G$4&amp;RankPoints!$B7,Results!$P$2:$P$226,0),24)),INDEX(Results!$B$2:$AA$226,MATCH(RankPoints!G$4&amp;RankPoints!$B7,Results!$Q$2:$Q$226,0),25),INDEX(Results!$B$2:$AA$226,MATCH(RankPoints!G$4&amp;RankPoints!$B7,Results!$P$2:$P$226,0),24)))</f>
        <v>0</v>
      </c>
      <c r="H8" s="50">
        <f>IF(ISERROR(IF(ISERROR(INDEX(Results!$B$2:$AA$226,MATCH(RankPoints!H$4&amp;RankPoints!$B7,Results!$P$2:$P$226,0),24)),INDEX(Results!$B$2:$AA$226,MATCH(RankPoints!H$4&amp;RankPoints!$B7,Results!$Q$2:$Q$226,0),25),INDEX(Results!$B$2:$AA$226,MATCH(RankPoints!H$4&amp;RankPoints!$B7,Results!$P$2:$P$226,0),24))),H7,IF(ISERROR(INDEX(Results!$B$2:$AA$226,MATCH(RankPoints!H$4&amp;RankPoints!$B7,Results!$P$2:$P$226,0),24)),INDEX(Results!$B$2:$AA$226,MATCH(RankPoints!H$4&amp;RankPoints!$B7,Results!$Q$2:$Q$226,0),25),INDEX(Results!$B$2:$AA$226,MATCH(RankPoints!H$4&amp;RankPoints!$B7,Results!$P$2:$P$226,0),24)))</f>
        <v>1516</v>
      </c>
      <c r="I8" s="105">
        <f>IF(ISERROR(IF(ISERROR(INDEX(Results!$B$2:$AA$226,MATCH(RankPoints!I$4&amp;RankPoints!$B7,Results!$P$2:$P$226,0),24)),INDEX(Results!$B$2:$AA$226,MATCH(RankPoints!I$4&amp;RankPoints!$B7,Results!$Q$2:$Q$226,0),25),INDEX(Results!$B$2:$AA$226,MATCH(RankPoints!I$4&amp;RankPoints!$B7,Results!$P$2:$P$226,0),24))),I7,IF(ISERROR(INDEX(Results!$B$2:$AA$226,MATCH(RankPoints!I$4&amp;RankPoints!$B7,Results!$P$2:$P$226,0),24)),INDEX(Results!$B$2:$AA$226,MATCH(RankPoints!I$4&amp;RankPoints!$B7,Results!$Q$2:$Q$226,0),25),INDEX(Results!$B$2:$AA$226,MATCH(RankPoints!I$4&amp;RankPoints!$B7,Results!$P$2:$P$226,0),24)))</f>
        <v>1500</v>
      </c>
      <c r="J8" s="106">
        <f>IF(ISERROR(IF(ISERROR(INDEX(Results!$B$2:$AA$226,MATCH(RankPoints!J$4&amp;RankPoints!$B7,Results!$P$2:$P$226,0),24)),INDEX(Results!$B$2:$AA$226,MATCH(RankPoints!J$4&amp;RankPoints!$B7,Results!$Q$2:$Q$226,0),25),INDEX(Results!$B$2:$AA$226,MATCH(RankPoints!J$4&amp;RankPoints!$B7,Results!$P$2:$P$226,0),24))),J7,IF(ISERROR(INDEX(Results!$B$2:$AA$226,MATCH(RankPoints!J$4&amp;RankPoints!$B7,Results!$P$2:$P$226,0),24)),INDEX(Results!$B$2:$AA$226,MATCH(RankPoints!J$4&amp;RankPoints!$B7,Results!$Q$2:$Q$226,0),25),INDEX(Results!$B$2:$AA$226,MATCH(RankPoints!J$4&amp;RankPoints!$B7,Results!$P$2:$P$226,0),24)))</f>
        <v>1627</v>
      </c>
      <c r="K8" s="50">
        <f>IF(ISERROR(IF(ISERROR(INDEX(Results!$B$2:$AA$226,MATCH(RankPoints!K$4&amp;RankPoints!$B7,Results!$P$2:$P$226,0),24)),INDEX(Results!$B$2:$AA$226,MATCH(RankPoints!K$4&amp;RankPoints!$B7,Results!$Q$2:$Q$226,0),25),INDEX(Results!$B$2:$AA$226,MATCH(RankPoints!K$4&amp;RankPoints!$B7,Results!$P$2:$P$226,0),24))),K7,IF(ISERROR(INDEX(Results!$B$2:$AA$226,MATCH(RankPoints!K$4&amp;RankPoints!$B7,Results!$P$2:$P$226,0),24)),INDEX(Results!$B$2:$AA$226,MATCH(RankPoints!K$4&amp;RankPoints!$B7,Results!$Q$2:$Q$226,0),25),INDEX(Results!$B$2:$AA$226,MATCH(RankPoints!K$4&amp;RankPoints!$B7,Results!$P$2:$P$226,0),24)))</f>
        <v>1500</v>
      </c>
      <c r="L8" s="50">
        <f>IF(ISERROR(IF(ISERROR(INDEX(Results!$B$2:$AA$226,MATCH(RankPoints!L$4&amp;RankPoints!$B7,Results!$P$2:$P$226,0),24)),INDEX(Results!$B$2:$AA$226,MATCH(RankPoints!L$4&amp;RankPoints!$B7,Results!$Q$2:$Q$226,0),25),INDEX(Results!$B$2:$AA$226,MATCH(RankPoints!L$4&amp;RankPoints!$B7,Results!$P$2:$P$226,0),24))),L7,IF(ISERROR(INDEX(Results!$B$2:$AA$226,MATCH(RankPoints!L$4&amp;RankPoints!$B7,Results!$P$2:$P$226,0),24)),INDEX(Results!$B$2:$AA$226,MATCH(RankPoints!L$4&amp;RankPoints!$B7,Results!$Q$2:$Q$226,0),25),INDEX(Results!$B$2:$AA$226,MATCH(RankPoints!L$4&amp;RankPoints!$B7,Results!$P$2:$P$226,0),24)))</f>
        <v>1500</v>
      </c>
      <c r="M8" s="106">
        <f>IF(ISERROR(IF(ISERROR(INDEX(Results!$B$2:$AA$226,MATCH(RankPoints!M$4&amp;RankPoints!$B7,Results!$P$2:$P$226,0),24)),INDEX(Results!$B$2:$AA$226,MATCH(RankPoints!M$4&amp;RankPoints!$B7,Results!$Q$2:$Q$226,0),25),INDEX(Results!$B$2:$AA$226,MATCH(RankPoints!M$4&amp;RankPoints!$B7,Results!$P$2:$P$226,0),24))),M7,IF(ISERROR(INDEX(Results!$B$2:$AA$226,MATCH(RankPoints!M$4&amp;RankPoints!$B7,Results!$P$2:$P$226,0),24)),INDEX(Results!$B$2:$AA$226,MATCH(RankPoints!M$4&amp;RankPoints!$B7,Results!$Q$2:$Q$226,0),25),INDEX(Results!$B$2:$AA$226,MATCH(RankPoints!M$4&amp;RankPoints!$B7,Results!$P$2:$P$226,0),24)))</f>
        <v>157</v>
      </c>
      <c r="N8" s="106">
        <f>IF(ISERROR(IF(ISERROR(INDEX(Results!$B$2:$AA$226,MATCH(RankPoints!N$4&amp;RankPoints!$B7,Results!$P$2:$P$226,0),24)),INDEX(Results!$B$2:$AA$226,MATCH(RankPoints!N$4&amp;RankPoints!$B7,Results!$Q$2:$Q$226,0),25),INDEX(Results!$B$2:$AA$226,MATCH(RankPoints!N$4&amp;RankPoints!$B7,Results!$P$2:$P$226,0),24))),N7,IF(ISERROR(INDEX(Results!$B$2:$AA$226,MATCH(RankPoints!N$4&amp;RankPoints!$B7,Results!$P$2:$P$226,0),24)),INDEX(Results!$B$2:$AA$226,MATCH(RankPoints!N$4&amp;RankPoints!$B7,Results!$Q$2:$Q$226,0),25),INDEX(Results!$B$2:$AA$226,MATCH(RankPoints!N$4&amp;RankPoints!$B7,Results!$P$2:$P$226,0),24)))</f>
        <v>1380</v>
      </c>
      <c r="O8" s="50">
        <f>IF(ISERROR(IF(ISERROR(INDEX(Results!$B$2:$AA$226,MATCH(RankPoints!O$4&amp;RankPoints!$B7,Results!$P$2:$P$226,0),24)),INDEX(Results!$B$2:$AA$226,MATCH(RankPoints!O$4&amp;RankPoints!$B7,Results!$Q$2:$Q$226,0),25),INDEX(Results!$B$2:$AA$226,MATCH(RankPoints!O$4&amp;RankPoints!$B7,Results!$P$2:$P$226,0),24))),O7,IF(ISERROR(INDEX(Results!$B$2:$AA$226,MATCH(RankPoints!O$4&amp;RankPoints!$B7,Results!$P$2:$P$226,0),24)),INDEX(Results!$B$2:$AA$226,MATCH(RankPoints!O$4&amp;RankPoints!$B7,Results!$Q$2:$Q$226,0),25),INDEX(Results!$B$2:$AA$226,MATCH(RankPoints!O$4&amp;RankPoints!$B7,Results!$P$2:$P$226,0),24)))</f>
        <v>1500</v>
      </c>
      <c r="P8" s="105">
        <f>IF(ISERROR(IF(ISERROR(INDEX(Results!$B$2:$AA$226,MATCH(RankPoints!P$4&amp;RankPoints!$B7,Results!$P$2:$P$226,0),24)),INDEX(Results!$B$2:$AA$226,MATCH(RankPoints!P$4&amp;RankPoints!$B7,Results!$Q$2:$Q$226,0),25),INDEX(Results!$B$2:$AA$226,MATCH(RankPoints!P$4&amp;RankPoints!$B7,Results!$P$2:$P$226,0),24))),P7,IF(ISERROR(INDEX(Results!$B$2:$AA$226,MATCH(RankPoints!P$4&amp;RankPoints!$B7,Results!$P$2:$P$226,0),24)),INDEX(Results!$B$2:$AA$226,MATCH(RankPoints!P$4&amp;RankPoints!$B7,Results!$Q$2:$Q$226,0),25),INDEX(Results!$B$2:$AA$226,MATCH(RankPoints!P$4&amp;RankPoints!$B7,Results!$P$2:$P$226,0),24)))</f>
        <v>1500</v>
      </c>
      <c r="Q8" s="50">
        <f>IF(ISERROR(IF(ISERROR(INDEX(Results!$B$2:$AA$226,MATCH(RankPoints!Q$4&amp;RankPoints!$B7,Results!$P$2:$P$226,0),24)),INDEX(Results!$B$2:$AA$226,MATCH(RankPoints!Q$4&amp;RankPoints!$B7,Results!$Q$2:$Q$226,0),25),INDEX(Results!$B$2:$AA$226,MATCH(RankPoints!Q$4&amp;RankPoints!$B7,Results!$P$2:$P$226,0),24))),Q7,IF(ISERROR(INDEX(Results!$B$2:$AA$226,MATCH(RankPoints!Q$4&amp;RankPoints!$B7,Results!$P$2:$P$226,0),24)),INDEX(Results!$B$2:$AA$226,MATCH(RankPoints!Q$4&amp;RankPoints!$B7,Results!$Q$2:$Q$226,0),25),INDEX(Results!$B$2:$AA$226,MATCH(RankPoints!Q$4&amp;RankPoints!$B7,Results!$P$2:$P$226,0),24)))</f>
        <v>1500</v>
      </c>
      <c r="R8" s="50">
        <f>IF(ISERROR(IF(ISERROR(INDEX(Results!$B$2:$AA$226,MATCH(RankPoints!R$4&amp;RankPoints!$B7,Results!$P$2:$P$226,0),24)),INDEX(Results!$B$2:$AA$226,MATCH(RankPoints!R$4&amp;RankPoints!$B7,Results!$Q$2:$Q$226,0),25),INDEX(Results!$B$2:$AA$226,MATCH(RankPoints!R$4&amp;RankPoints!$B7,Results!$P$2:$P$226,0),24))),R7,IF(ISERROR(INDEX(Results!$B$2:$AA$226,MATCH(RankPoints!R$4&amp;RankPoints!$B7,Results!$P$2:$P$226,0),24)),INDEX(Results!$B$2:$AA$226,MATCH(RankPoints!R$4&amp;RankPoints!$B7,Results!$Q$2:$Q$226,0),25),INDEX(Results!$B$2:$AA$226,MATCH(RankPoints!R$4&amp;RankPoints!$B7,Results!$P$2:$P$226,0),24)))</f>
        <v>1500</v>
      </c>
      <c r="S8" s="50">
        <f>IF(ISERROR(IF(ISERROR(INDEX(Results!$B$2:$AA$226,MATCH(RankPoints!S$4&amp;RankPoints!$B7,Results!$P$2:$P$226,0),24)),INDEX(Results!$B$2:$AA$226,MATCH(RankPoints!S$4&amp;RankPoints!$B7,Results!$Q$2:$Q$226,0),25),INDEX(Results!$B$2:$AA$226,MATCH(RankPoints!S$4&amp;RankPoints!$B7,Results!$P$2:$P$226,0),24))),S7,IF(ISERROR(INDEX(Results!$B$2:$AA$226,MATCH(RankPoints!S$4&amp;RankPoints!$B7,Results!$P$2:$P$226,0),24)),INDEX(Results!$B$2:$AA$226,MATCH(RankPoints!S$4&amp;RankPoints!$B7,Results!$Q$2:$Q$226,0),25),INDEX(Results!$B$2:$AA$226,MATCH(RankPoints!S$4&amp;RankPoints!$B7,Results!$P$2:$P$226,0),24)))</f>
        <v>1516</v>
      </c>
      <c r="T8" s="50">
        <f>IF(ISERROR(IF(ISERROR(INDEX(Results!$B$2:$AA$226,MATCH(RankPoints!T$4&amp;RankPoints!$B7,Results!$P$2:$P$226,0),24)),INDEX(Results!$B$2:$AA$226,MATCH(RankPoints!T$4&amp;RankPoints!$B7,Results!$Q$2:$Q$226,0),25),INDEX(Results!$B$2:$AA$226,MATCH(RankPoints!T$4&amp;RankPoints!$B7,Results!$P$2:$P$226,0),24))),T7,IF(ISERROR(INDEX(Results!$B$2:$AA$226,MATCH(RankPoints!T$4&amp;RankPoints!$B7,Results!$P$2:$P$226,0),24)),INDEX(Results!$B$2:$AA$226,MATCH(RankPoints!T$4&amp;RankPoints!$B7,Results!$Q$2:$Q$226,0),25),INDEX(Results!$B$2:$AA$226,MATCH(RankPoints!T$4&amp;RankPoints!$B7,Results!$P$2:$P$226,0),24)))</f>
        <v>1500</v>
      </c>
      <c r="U8" s="50">
        <f>IF(ISERROR(IF(ISERROR(INDEX(Results!$B$2:$AA$226,MATCH(RankPoints!U$4&amp;RankPoints!$B7,Results!$P$2:$P$226,0),24)),INDEX(Results!$B$2:$AA$226,MATCH(RankPoints!U$4&amp;RankPoints!$B7,Results!$Q$2:$Q$226,0),25),INDEX(Results!$B$2:$AA$226,MATCH(RankPoints!U$4&amp;RankPoints!$B7,Results!$P$2:$P$226,0),24))),U7,IF(ISERROR(INDEX(Results!$B$2:$AA$226,MATCH(RankPoints!U$4&amp;RankPoints!$B7,Results!$P$2:$P$226,0),24)),INDEX(Results!$B$2:$AA$226,MATCH(RankPoints!U$4&amp;RankPoints!$B7,Results!$Q$2:$Q$226,0),25),INDEX(Results!$B$2:$AA$226,MATCH(RankPoints!U$4&amp;RankPoints!$B7,Results!$P$2:$P$226,0),24)))</f>
        <v>1500</v>
      </c>
      <c r="V8" s="50">
        <f>IF(ISERROR(IF(ISERROR(INDEX(Results!$B$2:$AA$226,MATCH(RankPoints!V$4&amp;RankPoints!$B7,Results!$P$2:$P$226,0),24)),INDEX(Results!$B$2:$AA$226,MATCH(RankPoints!V$4&amp;RankPoints!$B7,Results!$Q$2:$Q$226,0),25),INDEX(Results!$B$2:$AA$226,MATCH(RankPoints!V$4&amp;RankPoints!$B7,Results!$P$2:$P$226,0),24))),V7,IF(ISERROR(INDEX(Results!$B$2:$AA$226,MATCH(RankPoints!V$4&amp;RankPoints!$B7,Results!$P$2:$P$226,0),24)),INDEX(Results!$B$2:$AA$226,MATCH(RankPoints!V$4&amp;RankPoints!$B7,Results!$Q$2:$Q$226,0),25),INDEX(Results!$B$2:$AA$226,MATCH(RankPoints!V$4&amp;RankPoints!$B7,Results!$P$2:$P$226,0),24)))</f>
        <v>0</v>
      </c>
      <c r="W8" s="105">
        <f>IF(ISERROR(IF(ISERROR(INDEX(Results!$B$2:$AA$226,MATCH(RankPoints!W$4&amp;RankPoints!$B7,Results!$P$2:$P$226,0),24)),INDEX(Results!$B$2:$AA$226,MATCH(RankPoints!W$4&amp;RankPoints!$B7,Results!$Q$2:$Q$226,0),25),INDEX(Results!$B$2:$AA$226,MATCH(RankPoints!W$4&amp;RankPoints!$B7,Results!$P$2:$P$226,0),24))),W7,IF(ISERROR(INDEX(Results!$B$2:$AA$226,MATCH(RankPoints!W$4&amp;RankPoints!$B7,Results!$P$2:$P$226,0),24)),INDEX(Results!$B$2:$AA$226,MATCH(RankPoints!W$4&amp;RankPoints!$B7,Results!$Q$2:$Q$226,0),25),INDEX(Results!$B$2:$AA$226,MATCH(RankPoints!W$4&amp;RankPoints!$B7,Results!$P$2:$P$226,0),24)))</f>
        <v>1500</v>
      </c>
      <c r="X8" s="106">
        <f>IF(ISERROR(IF(ISERROR(INDEX(Results!$B$2:$AA$226,MATCH(RankPoints!X$4&amp;RankPoints!$B7,Results!$P$2:$P$226,0),24)),INDEX(Results!$B$2:$AA$226,MATCH(RankPoints!X$4&amp;RankPoints!$B7,Results!$Q$2:$Q$226,0),25),INDEX(Results!$B$2:$AA$226,MATCH(RankPoints!X$4&amp;RankPoints!$B7,Results!$P$2:$P$226,0),24))),X7,IF(ISERROR(INDEX(Results!$B$2:$AA$226,MATCH(RankPoints!X$4&amp;RankPoints!$B7,Results!$P$2:$P$226,0),24)),INDEX(Results!$B$2:$AA$226,MATCH(RankPoints!X$4&amp;RankPoints!$B7,Results!$Q$2:$Q$226,0),25),INDEX(Results!$B$2:$AA$226,MATCH(RankPoints!X$4&amp;RankPoints!$B7,Results!$P$2:$P$226,0),24)))</f>
        <v>-3091</v>
      </c>
      <c r="Y8" s="50">
        <f>IF(ISERROR(IF(ISERROR(INDEX(Results!$B$2:$AA$226,MATCH(RankPoints!Y$4&amp;RankPoints!$B7,Results!$P$2:$P$226,0),24)),INDEX(Results!$B$2:$AA$226,MATCH(RankPoints!Y$4&amp;RankPoints!$B7,Results!$Q$2:$Q$226,0),25),INDEX(Results!$B$2:$AA$226,MATCH(RankPoints!Y$4&amp;RankPoints!$B7,Results!$P$2:$P$226,0),24))),Y7,IF(ISERROR(INDEX(Results!$B$2:$AA$226,MATCH(RankPoints!Y$4&amp;RankPoints!$B7,Results!$P$2:$P$226,0),24)),INDEX(Results!$B$2:$AA$226,MATCH(RankPoints!Y$4&amp;RankPoints!$B7,Results!$Q$2:$Q$226,0),25),INDEX(Results!$B$2:$AA$226,MATCH(RankPoints!Y$4&amp;RankPoints!$B7,Results!$P$2:$P$226,0),24)))</f>
        <v>21</v>
      </c>
      <c r="Z8" s="50">
        <f>IF(ISERROR(IF(ISERROR(INDEX(Results!$B$2:$AA$226,MATCH(RankPoints!Z$4&amp;RankPoints!$B7,Results!$P$2:$P$226,0),24)),INDEX(Results!$B$2:$AA$226,MATCH(RankPoints!Z$4&amp;RankPoints!$B7,Results!$Q$2:$Q$226,0),25),INDEX(Results!$B$2:$AA$226,MATCH(RankPoints!Z$4&amp;RankPoints!$B7,Results!$P$2:$P$226,0),24))),Z7,IF(ISERROR(INDEX(Results!$B$2:$AA$226,MATCH(RankPoints!Z$4&amp;RankPoints!$B7,Results!$P$2:$P$226,0),24)),INDEX(Results!$B$2:$AA$226,MATCH(RankPoints!Z$4&amp;RankPoints!$B7,Results!$Q$2:$Q$226,0),25),INDEX(Results!$B$2:$AA$226,MATCH(RankPoints!Z$4&amp;RankPoints!$B7,Results!$P$2:$P$226,0),24)))</f>
        <v>1546</v>
      </c>
      <c r="AA8" s="50">
        <f>IF(ISERROR(IF(ISERROR(INDEX(Results!$B$2:$AA$226,MATCH(RankPoints!AA$4&amp;RankPoints!$B7,Results!$P$2:$P$226,0),24)),INDEX(Results!$B$2:$AA$226,MATCH(RankPoints!AA$4&amp;RankPoints!$B7,Results!$Q$2:$Q$226,0),25),INDEX(Results!$B$2:$AA$226,MATCH(RankPoints!AA$4&amp;RankPoints!$B7,Results!$P$2:$P$226,0),24))),AA7,IF(ISERROR(INDEX(Results!$B$2:$AA$226,MATCH(RankPoints!AA$4&amp;RankPoints!$B7,Results!$P$2:$P$226,0),24)),INDEX(Results!$B$2:$AA$226,MATCH(RankPoints!AA$4&amp;RankPoints!$B7,Results!$Q$2:$Q$226,0),25),INDEX(Results!$B$2:$AA$226,MATCH(RankPoints!AA$4&amp;RankPoints!$B7,Results!$P$2:$P$226,0),24)))</f>
        <v>1500</v>
      </c>
      <c r="AB8" s="106">
        <f>IF(ISERROR(IF(ISERROR(INDEX(Results!$B$2:$AA$226,MATCH(RankPoints!AB$4&amp;RankPoints!$B7,Results!$P$2:$P$226,0),24)),INDEX(Results!$B$2:$AA$226,MATCH(RankPoints!AB$4&amp;RankPoints!$B7,Results!$Q$2:$Q$226,0),25),INDEX(Results!$B$2:$AA$226,MATCH(RankPoints!AB$4&amp;RankPoints!$B7,Results!$P$2:$P$226,0),24))),AB7,IF(ISERROR(INDEX(Results!$B$2:$AA$226,MATCH(RankPoints!AB$4&amp;RankPoints!$B7,Results!$P$2:$P$226,0),24)),INDEX(Results!$B$2:$AA$226,MATCH(RankPoints!AB$4&amp;RankPoints!$B7,Results!$Q$2:$Q$226,0),25),INDEX(Results!$B$2:$AA$226,MATCH(RankPoints!AB$4&amp;RankPoints!$B7,Results!$P$2:$P$226,0),24)))</f>
        <v>1599</v>
      </c>
      <c r="AC8" s="50">
        <f>IF(ISERROR(IF(ISERROR(INDEX(Results!$B$2:$AA$226,MATCH(RankPoints!AC$4&amp;RankPoints!$B7,Results!$P$2:$P$226,0),24)),INDEX(Results!$B$2:$AA$226,MATCH(RankPoints!AC$4&amp;RankPoints!$B7,Results!$Q$2:$Q$226,0),25),INDEX(Results!$B$2:$AA$226,MATCH(RankPoints!AC$4&amp;RankPoints!$B7,Results!$P$2:$P$226,0),24))),AC7,IF(ISERROR(INDEX(Results!$B$2:$AA$226,MATCH(RankPoints!AC$4&amp;RankPoints!$B7,Results!$P$2:$P$226,0),24)),INDEX(Results!$B$2:$AA$226,MATCH(RankPoints!AC$4&amp;RankPoints!$B7,Results!$Q$2:$Q$226,0),25),INDEX(Results!$B$2:$AA$226,MATCH(RankPoints!AC$4&amp;RankPoints!$B7,Results!$P$2:$P$226,0),24)))</f>
        <v>1500</v>
      </c>
      <c r="AD8" s="107">
        <f>IF(ISERROR(IF(ISERROR(INDEX(Results!$B$2:$AA$226,MATCH(RankPoints!AD$4&amp;RankPoints!$B7,Results!$P$2:$P$226,0),24)),INDEX(Results!$B$2:$AA$226,MATCH(RankPoints!AD$4&amp;RankPoints!$B7,Results!$Q$2:$Q$226,0),25),INDEX(Results!$B$2:$AA$226,MATCH(RankPoints!AD$4&amp;RankPoints!$B7,Results!$P$2:$P$226,0),24))),AD7,IF(ISERROR(INDEX(Results!$B$2:$AA$226,MATCH(RankPoints!AD$4&amp;RankPoints!$B7,Results!$P$2:$P$226,0),24)),INDEX(Results!$B$2:$AA$226,MATCH(RankPoints!AD$4&amp;RankPoints!$B7,Results!$Q$2:$Q$226,0),25),INDEX(Results!$B$2:$AA$226,MATCH(RankPoints!AD$4&amp;RankPoints!$B7,Results!$P$2:$P$226,0),24)))</f>
        <v>1500</v>
      </c>
      <c r="AE8" s="106">
        <f>IF(ISERROR(IF(ISERROR(INDEX(Results!$B$2:$AA$226,MATCH(RankPoints!AE$4&amp;RankPoints!$B7,Results!$P$2:$P$226,0),24)),INDEX(Results!$B$2:$AA$226,MATCH(RankPoints!AE$4&amp;RankPoints!$B7,Results!$Q$2:$Q$226,0),25),INDEX(Results!$B$2:$AA$226,MATCH(RankPoints!AE$4&amp;RankPoints!$B7,Results!$P$2:$P$226,0),24))),AE7,IF(ISERROR(INDEX(Results!$B$2:$AA$226,MATCH(RankPoints!AE$4&amp;RankPoints!$B7,Results!$P$2:$P$226,0),24)),INDEX(Results!$B$2:$AA$226,MATCH(RankPoints!AE$4&amp;RankPoints!$B7,Results!$Q$2:$Q$226,0),25),INDEX(Results!$B$2:$AA$226,MATCH(RankPoints!AE$4&amp;RankPoints!$B7,Results!$P$2:$P$226,0),24)))</f>
        <v>1798</v>
      </c>
      <c r="AF8" s="106">
        <f>IF(ISERROR(IF(ISERROR(INDEX(Results!$B$2:$AA$226,MATCH(RankPoints!AF$4&amp;RankPoints!$B7,Results!$P$2:$P$226,0),24)),INDEX(Results!$B$2:$AA$226,MATCH(RankPoints!AF$4&amp;RankPoints!$B7,Results!$Q$2:$Q$226,0),25),INDEX(Results!$B$2:$AA$226,MATCH(RankPoints!AF$4&amp;RankPoints!$B7,Results!$P$2:$P$226,0),24))),AF7,IF(ISERROR(INDEX(Results!$B$2:$AA$226,MATCH(RankPoints!AF$4&amp;RankPoints!$B7,Results!$P$2:$P$226,0),24)),INDEX(Results!$B$2:$AA$226,MATCH(RankPoints!AF$4&amp;RankPoints!$B7,Results!$Q$2:$Q$226,0),25),INDEX(Results!$B$2:$AA$226,MATCH(RankPoints!AF$4&amp;RankPoints!$B7,Results!$P$2:$P$226,0),24)))</f>
        <v>1411</v>
      </c>
      <c r="AG8" s="50">
        <f>IF(ISERROR(IF(ISERROR(INDEX(Results!$B$2:$AA$226,MATCH(RankPoints!AG$4&amp;RankPoints!$B7,Results!$P$2:$P$226,0),24)),INDEX(Results!$B$2:$AA$226,MATCH(RankPoints!AG$4&amp;RankPoints!$B7,Results!$Q$2:$Q$226,0),25),INDEX(Results!$B$2:$AA$226,MATCH(RankPoints!AG$4&amp;RankPoints!$B7,Results!$P$2:$P$226,0),24))),AG7,IF(ISERROR(INDEX(Results!$B$2:$AA$226,MATCH(RankPoints!AG$4&amp;RankPoints!$B7,Results!$P$2:$P$226,0),24)),INDEX(Results!$B$2:$AA$226,MATCH(RankPoints!AG$4&amp;RankPoints!$B7,Results!$Q$2:$Q$226,0),25),INDEX(Results!$B$2:$AA$226,MATCH(RankPoints!AG$4&amp;RankPoints!$B7,Results!$P$2:$P$226,0),24)))</f>
        <v>351</v>
      </c>
      <c r="AH8" s="50">
        <f>IF(ISERROR(IF(ISERROR(INDEX(Results!$B$2:$AA$226,MATCH(RankPoints!AH$4&amp;RankPoints!$B7,Results!$P$2:$P$226,0),24)),INDEX(Results!$B$2:$AA$226,MATCH(RankPoints!AH$4&amp;RankPoints!$B7,Results!$Q$2:$Q$226,0),25),INDEX(Results!$B$2:$AA$226,MATCH(RankPoints!AH$4&amp;RankPoints!$B7,Results!$P$2:$P$226,0),24))),AH7,IF(ISERROR(INDEX(Results!$B$2:$AA$226,MATCH(RankPoints!AH$4&amp;RankPoints!$B7,Results!$P$2:$P$226,0),24)),INDEX(Results!$B$2:$AA$226,MATCH(RankPoints!AH$4&amp;RankPoints!$B7,Results!$Q$2:$Q$226,0),25),INDEX(Results!$B$2:$AA$226,MATCH(RankPoints!AH$4&amp;RankPoints!$B7,Results!$P$2:$P$226,0),24)))</f>
        <v>1500</v>
      </c>
      <c r="AI8" s="50">
        <f>IF(ISERROR(IF(ISERROR(INDEX(Results!$B$2:$AA$226,MATCH(RankPoints!AI$4&amp;RankPoints!$B7,Results!$P$2:$P$226,0),24)),INDEX(Results!$B$2:$AA$226,MATCH(RankPoints!AI$4&amp;RankPoints!$B7,Results!$Q$2:$Q$226,0),25),INDEX(Results!$B$2:$AA$226,MATCH(RankPoints!AI$4&amp;RankPoints!$B7,Results!$P$2:$P$226,0),24))),AI7,IF(ISERROR(INDEX(Results!$B$2:$AA$226,MATCH(RankPoints!AI$4&amp;RankPoints!$B7,Results!$P$2:$P$226,0),24)),INDEX(Results!$B$2:$AA$226,MATCH(RankPoints!AI$4&amp;RankPoints!$B7,Results!$Q$2:$Q$226,0),25),INDEX(Results!$B$2:$AA$226,MATCH(RankPoints!AI$4&amp;RankPoints!$B7,Results!$P$2:$P$226,0),24)))</f>
        <v>1500</v>
      </c>
      <c r="AJ8" s="106">
        <f>IF(ISERROR(IF(ISERROR(INDEX(Results!$B$2:$AA$226,MATCH(RankPoints!AJ$4&amp;RankPoints!$B7,Results!$P$2:$P$226,0),24)),INDEX(Results!$B$2:$AA$226,MATCH(RankPoints!AJ$4&amp;RankPoints!$B7,Results!$Q$2:$Q$226,0),25),INDEX(Results!$B$2:$AA$226,MATCH(RankPoints!AJ$4&amp;RankPoints!$B7,Results!$P$2:$P$226,0),24))),AJ7,IF(ISERROR(INDEX(Results!$B$2:$AA$226,MATCH(RankPoints!AJ$4&amp;RankPoints!$B7,Results!$P$2:$P$226,0),24)),INDEX(Results!$B$2:$AA$226,MATCH(RankPoints!AJ$4&amp;RankPoints!$B7,Results!$Q$2:$Q$226,0),25),INDEX(Results!$B$2:$AA$226,MATCH(RankPoints!AJ$4&amp;RankPoints!$B7,Results!$P$2:$P$226,0),24)))</f>
        <v>1493</v>
      </c>
      <c r="AK8" s="107">
        <f>IF(ISERROR(IF(ISERROR(INDEX(Results!$B$2:$AA$226,MATCH(RankPoints!AK$4&amp;RankPoints!$B7,Results!$P$2:$P$226,0),24)),INDEX(Results!$B$2:$AA$226,MATCH(RankPoints!AK$4&amp;RankPoints!$B7,Results!$Q$2:$Q$226,0),25),INDEX(Results!$B$2:$AA$226,MATCH(RankPoints!AK$4&amp;RankPoints!$B7,Results!$P$2:$P$226,0),24))),AK7,IF(ISERROR(INDEX(Results!$B$2:$AA$226,MATCH(RankPoints!AK$4&amp;RankPoints!$B7,Results!$P$2:$P$226,0),24)),INDEX(Results!$B$2:$AA$226,MATCH(RankPoints!AK$4&amp;RankPoints!$B7,Results!$Q$2:$Q$226,0),25),INDEX(Results!$B$2:$AA$226,MATCH(RankPoints!AK$4&amp;RankPoints!$B7,Results!$P$2:$P$226,0),24)))</f>
        <v>1472</v>
      </c>
    </row>
    <row r="9" spans="2:37" ht="12.75">
      <c r="B9" s="114">
        <f t="shared" si="0"/>
        <v>5</v>
      </c>
      <c r="C9" s="104">
        <f>IF(ISERROR(IF(ISERROR(INDEX(Results!$B$2:$AA$226,MATCH(RankPoints!C$4&amp;RankPoints!$B8,Results!$P$2:$P$226,0),24)),INDEX(Results!$B$2:$AA$226,MATCH(RankPoints!C$4&amp;RankPoints!$B8,Results!$Q$2:$Q$226,0),25),INDEX(Results!$B$2:$AA$226,MATCH(RankPoints!C$4&amp;RankPoints!$B8,Results!$P$2:$P$226,0),24))),C8,IF(ISERROR(INDEX(Results!$B$2:$AA$226,MATCH(RankPoints!C$4&amp;RankPoints!$B8,Results!$P$2:$P$226,0),24)),INDEX(Results!$B$2:$AA$226,MATCH(RankPoints!C$4&amp;RankPoints!$B8,Results!$Q$2:$Q$226,0),25),INDEX(Results!$B$2:$AA$226,MATCH(RankPoints!C$4&amp;RankPoints!$B8,Results!$P$2:$P$226,0),24)))</f>
        <v>1500</v>
      </c>
      <c r="D9" s="106">
        <f>IF(ISERROR(IF(ISERROR(INDEX(Results!$B$2:$AA$226,MATCH(RankPoints!D$4&amp;RankPoints!$B8,Results!$P$2:$P$226,0),24)),INDEX(Results!$B$2:$AA$226,MATCH(RankPoints!D$4&amp;RankPoints!$B8,Results!$Q$2:$Q$226,0),25),INDEX(Results!$B$2:$AA$226,MATCH(RankPoints!D$4&amp;RankPoints!$B8,Results!$P$2:$P$226,0),24))),D8,IF(ISERROR(INDEX(Results!$B$2:$AA$226,MATCH(RankPoints!D$4&amp;RankPoints!$B8,Results!$P$2:$P$226,0),24)),INDEX(Results!$B$2:$AA$226,MATCH(RankPoints!D$4&amp;RankPoints!$B8,Results!$Q$2:$Q$226,0),25),INDEX(Results!$B$2:$AA$226,MATCH(RankPoints!D$4&amp;RankPoints!$B8,Results!$P$2:$P$226,0),24)))</f>
        <v>1651</v>
      </c>
      <c r="E9" s="106">
        <f>IF(ISERROR(IF(ISERROR(INDEX(Results!$B$2:$AA$226,MATCH(RankPoints!E$4&amp;RankPoints!$B8,Results!$P$2:$P$226,0),24)),INDEX(Results!$B$2:$AA$226,MATCH(RankPoints!E$4&amp;RankPoints!$B8,Results!$Q$2:$Q$226,0),25),INDEX(Results!$B$2:$AA$226,MATCH(RankPoints!E$4&amp;RankPoints!$B8,Results!$P$2:$P$226,0),24))),E8,IF(ISERROR(INDEX(Results!$B$2:$AA$226,MATCH(RankPoints!E$4&amp;RankPoints!$B8,Results!$P$2:$P$226,0),24)),INDEX(Results!$B$2:$AA$226,MATCH(RankPoints!E$4&amp;RankPoints!$B8,Results!$Q$2:$Q$226,0),25),INDEX(Results!$B$2:$AA$226,MATCH(RankPoints!E$4&amp;RankPoints!$B8,Results!$P$2:$P$226,0),24)))</f>
        <v>1731</v>
      </c>
      <c r="F9" s="50">
        <f>IF(ISERROR(IF(ISERROR(INDEX(Results!$B$2:$AA$226,MATCH(RankPoints!F$4&amp;RankPoints!$B8,Results!$P$2:$P$226,0),24)),INDEX(Results!$B$2:$AA$226,MATCH(RankPoints!F$4&amp;RankPoints!$B8,Results!$Q$2:$Q$226,0),25),INDEX(Results!$B$2:$AA$226,MATCH(RankPoints!F$4&amp;RankPoints!$B8,Results!$P$2:$P$226,0),24))),F8,IF(ISERROR(INDEX(Results!$B$2:$AA$226,MATCH(RankPoints!F$4&amp;RankPoints!$B8,Results!$P$2:$P$226,0),24)),INDEX(Results!$B$2:$AA$226,MATCH(RankPoints!F$4&amp;RankPoints!$B8,Results!$Q$2:$Q$226,0),25),INDEX(Results!$B$2:$AA$226,MATCH(RankPoints!F$4&amp;RankPoints!$B8,Results!$P$2:$P$226,0),24)))</f>
        <v>1500</v>
      </c>
      <c r="G9" s="50">
        <f>IF(ISERROR(IF(ISERROR(INDEX(Results!$B$2:$AA$226,MATCH(RankPoints!G$4&amp;RankPoints!$B8,Results!$P$2:$P$226,0),24)),INDEX(Results!$B$2:$AA$226,MATCH(RankPoints!G$4&amp;RankPoints!$B8,Results!$Q$2:$Q$226,0),25),INDEX(Results!$B$2:$AA$226,MATCH(RankPoints!G$4&amp;RankPoints!$B8,Results!$P$2:$P$226,0),24))),G8,IF(ISERROR(INDEX(Results!$B$2:$AA$226,MATCH(RankPoints!G$4&amp;RankPoints!$B8,Results!$P$2:$P$226,0),24)),INDEX(Results!$B$2:$AA$226,MATCH(RankPoints!G$4&amp;RankPoints!$B8,Results!$Q$2:$Q$226,0),25),INDEX(Results!$B$2:$AA$226,MATCH(RankPoints!G$4&amp;RankPoints!$B8,Results!$P$2:$P$226,0),24)))</f>
        <v>0</v>
      </c>
      <c r="H9" s="50">
        <f>IF(ISERROR(IF(ISERROR(INDEX(Results!$B$2:$AA$226,MATCH(RankPoints!H$4&amp;RankPoints!$B8,Results!$P$2:$P$226,0),24)),INDEX(Results!$B$2:$AA$226,MATCH(RankPoints!H$4&amp;RankPoints!$B8,Results!$Q$2:$Q$226,0),25),INDEX(Results!$B$2:$AA$226,MATCH(RankPoints!H$4&amp;RankPoints!$B8,Results!$P$2:$P$226,0),24))),H8,IF(ISERROR(INDEX(Results!$B$2:$AA$226,MATCH(RankPoints!H$4&amp;RankPoints!$B8,Results!$P$2:$P$226,0),24)),INDEX(Results!$B$2:$AA$226,MATCH(RankPoints!H$4&amp;RankPoints!$B8,Results!$Q$2:$Q$226,0),25),INDEX(Results!$B$2:$AA$226,MATCH(RankPoints!H$4&amp;RankPoints!$B8,Results!$P$2:$P$226,0),24)))</f>
        <v>1516</v>
      </c>
      <c r="I9" s="105">
        <f>IF(ISERROR(IF(ISERROR(INDEX(Results!$B$2:$AA$226,MATCH(RankPoints!I$4&amp;RankPoints!$B8,Results!$P$2:$P$226,0),24)),INDEX(Results!$B$2:$AA$226,MATCH(RankPoints!I$4&amp;RankPoints!$B8,Results!$Q$2:$Q$226,0),25),INDEX(Results!$B$2:$AA$226,MATCH(RankPoints!I$4&amp;RankPoints!$B8,Results!$P$2:$P$226,0),24))),I8,IF(ISERROR(INDEX(Results!$B$2:$AA$226,MATCH(RankPoints!I$4&amp;RankPoints!$B8,Results!$P$2:$P$226,0),24)),INDEX(Results!$B$2:$AA$226,MATCH(RankPoints!I$4&amp;RankPoints!$B8,Results!$Q$2:$Q$226,0),25),INDEX(Results!$B$2:$AA$226,MATCH(RankPoints!I$4&amp;RankPoints!$B8,Results!$P$2:$P$226,0),24)))</f>
        <v>1500</v>
      </c>
      <c r="J9" s="106">
        <f>IF(ISERROR(IF(ISERROR(INDEX(Results!$B$2:$AA$226,MATCH(RankPoints!J$4&amp;RankPoints!$B8,Results!$P$2:$P$226,0),24)),INDEX(Results!$B$2:$AA$226,MATCH(RankPoints!J$4&amp;RankPoints!$B8,Results!$Q$2:$Q$226,0),25),INDEX(Results!$B$2:$AA$226,MATCH(RankPoints!J$4&amp;RankPoints!$B8,Results!$P$2:$P$226,0),24))),J8,IF(ISERROR(INDEX(Results!$B$2:$AA$226,MATCH(RankPoints!J$4&amp;RankPoints!$B8,Results!$P$2:$P$226,0),24)),INDEX(Results!$B$2:$AA$226,MATCH(RankPoints!J$4&amp;RankPoints!$B8,Results!$Q$2:$Q$226,0),25),INDEX(Results!$B$2:$AA$226,MATCH(RankPoints!J$4&amp;RankPoints!$B8,Results!$P$2:$P$226,0),24)))</f>
        <v>1627</v>
      </c>
      <c r="K9" s="50">
        <f>IF(ISERROR(IF(ISERROR(INDEX(Results!$B$2:$AA$226,MATCH(RankPoints!K$4&amp;RankPoints!$B8,Results!$P$2:$P$226,0),24)),INDEX(Results!$B$2:$AA$226,MATCH(RankPoints!K$4&amp;RankPoints!$B8,Results!$Q$2:$Q$226,0),25),INDEX(Results!$B$2:$AA$226,MATCH(RankPoints!K$4&amp;RankPoints!$B8,Results!$P$2:$P$226,0),24))),K8,IF(ISERROR(INDEX(Results!$B$2:$AA$226,MATCH(RankPoints!K$4&amp;RankPoints!$B8,Results!$P$2:$P$226,0),24)),INDEX(Results!$B$2:$AA$226,MATCH(RankPoints!K$4&amp;RankPoints!$B8,Results!$Q$2:$Q$226,0),25),INDEX(Results!$B$2:$AA$226,MATCH(RankPoints!K$4&amp;RankPoints!$B8,Results!$P$2:$P$226,0),24)))</f>
        <v>1500</v>
      </c>
      <c r="L9" s="50">
        <f>IF(ISERROR(IF(ISERROR(INDEX(Results!$B$2:$AA$226,MATCH(RankPoints!L$4&amp;RankPoints!$B8,Results!$P$2:$P$226,0),24)),INDEX(Results!$B$2:$AA$226,MATCH(RankPoints!L$4&amp;RankPoints!$B8,Results!$Q$2:$Q$226,0),25),INDEX(Results!$B$2:$AA$226,MATCH(RankPoints!L$4&amp;RankPoints!$B8,Results!$P$2:$P$226,0),24))),L8,IF(ISERROR(INDEX(Results!$B$2:$AA$226,MATCH(RankPoints!L$4&amp;RankPoints!$B8,Results!$P$2:$P$226,0),24)),INDEX(Results!$B$2:$AA$226,MATCH(RankPoints!L$4&amp;RankPoints!$B8,Results!$Q$2:$Q$226,0),25),INDEX(Results!$B$2:$AA$226,MATCH(RankPoints!L$4&amp;RankPoints!$B8,Results!$P$2:$P$226,0),24)))</f>
        <v>1500</v>
      </c>
      <c r="M9" s="106">
        <f>IF(ISERROR(IF(ISERROR(INDEX(Results!$B$2:$AA$226,MATCH(RankPoints!M$4&amp;RankPoints!$B8,Results!$P$2:$P$226,0),24)),INDEX(Results!$B$2:$AA$226,MATCH(RankPoints!M$4&amp;RankPoints!$B8,Results!$Q$2:$Q$226,0),25),INDEX(Results!$B$2:$AA$226,MATCH(RankPoints!M$4&amp;RankPoints!$B8,Results!$P$2:$P$226,0),24))),M8,IF(ISERROR(INDEX(Results!$B$2:$AA$226,MATCH(RankPoints!M$4&amp;RankPoints!$B8,Results!$P$2:$P$226,0),24)),INDEX(Results!$B$2:$AA$226,MATCH(RankPoints!M$4&amp;RankPoints!$B8,Results!$Q$2:$Q$226,0),25),INDEX(Results!$B$2:$AA$226,MATCH(RankPoints!M$4&amp;RankPoints!$B8,Results!$P$2:$P$226,0),24)))</f>
        <v>157</v>
      </c>
      <c r="N9" s="106">
        <f>IF(ISERROR(IF(ISERROR(INDEX(Results!$B$2:$AA$226,MATCH(RankPoints!N$4&amp;RankPoints!$B8,Results!$P$2:$P$226,0),24)),INDEX(Results!$B$2:$AA$226,MATCH(RankPoints!N$4&amp;RankPoints!$B8,Results!$Q$2:$Q$226,0),25),INDEX(Results!$B$2:$AA$226,MATCH(RankPoints!N$4&amp;RankPoints!$B8,Results!$P$2:$P$226,0),24))),N8,IF(ISERROR(INDEX(Results!$B$2:$AA$226,MATCH(RankPoints!N$4&amp;RankPoints!$B8,Results!$P$2:$P$226,0),24)),INDEX(Results!$B$2:$AA$226,MATCH(RankPoints!N$4&amp;RankPoints!$B8,Results!$Q$2:$Q$226,0),25),INDEX(Results!$B$2:$AA$226,MATCH(RankPoints!N$4&amp;RankPoints!$B8,Results!$P$2:$P$226,0),24)))</f>
        <v>1380</v>
      </c>
      <c r="O9" s="50">
        <f>IF(ISERROR(IF(ISERROR(INDEX(Results!$B$2:$AA$226,MATCH(RankPoints!O$4&amp;RankPoints!$B8,Results!$P$2:$P$226,0),24)),INDEX(Results!$B$2:$AA$226,MATCH(RankPoints!O$4&amp;RankPoints!$B8,Results!$Q$2:$Q$226,0),25),INDEX(Results!$B$2:$AA$226,MATCH(RankPoints!O$4&amp;RankPoints!$B8,Results!$P$2:$P$226,0),24))),O8,IF(ISERROR(INDEX(Results!$B$2:$AA$226,MATCH(RankPoints!O$4&amp;RankPoints!$B8,Results!$P$2:$P$226,0),24)),INDEX(Results!$B$2:$AA$226,MATCH(RankPoints!O$4&amp;RankPoints!$B8,Results!$Q$2:$Q$226,0),25),INDEX(Results!$B$2:$AA$226,MATCH(RankPoints!O$4&amp;RankPoints!$B8,Results!$P$2:$P$226,0),24)))</f>
        <v>1500</v>
      </c>
      <c r="P9" s="105">
        <f>IF(ISERROR(IF(ISERROR(INDEX(Results!$B$2:$AA$226,MATCH(RankPoints!P$4&amp;RankPoints!$B8,Results!$P$2:$P$226,0),24)),INDEX(Results!$B$2:$AA$226,MATCH(RankPoints!P$4&amp;RankPoints!$B8,Results!$Q$2:$Q$226,0),25),INDEX(Results!$B$2:$AA$226,MATCH(RankPoints!P$4&amp;RankPoints!$B8,Results!$P$2:$P$226,0),24))),P8,IF(ISERROR(INDEX(Results!$B$2:$AA$226,MATCH(RankPoints!P$4&amp;RankPoints!$B8,Results!$P$2:$P$226,0),24)),INDEX(Results!$B$2:$AA$226,MATCH(RankPoints!P$4&amp;RankPoints!$B8,Results!$Q$2:$Q$226,0),25),INDEX(Results!$B$2:$AA$226,MATCH(RankPoints!P$4&amp;RankPoints!$B8,Results!$P$2:$P$226,0),24)))</f>
        <v>1500</v>
      </c>
      <c r="Q9" s="50">
        <f>IF(ISERROR(IF(ISERROR(INDEX(Results!$B$2:$AA$226,MATCH(RankPoints!Q$4&amp;RankPoints!$B8,Results!$P$2:$P$226,0),24)),INDEX(Results!$B$2:$AA$226,MATCH(RankPoints!Q$4&amp;RankPoints!$B8,Results!$Q$2:$Q$226,0),25),INDEX(Results!$B$2:$AA$226,MATCH(RankPoints!Q$4&amp;RankPoints!$B8,Results!$P$2:$P$226,0),24))),Q8,IF(ISERROR(INDEX(Results!$B$2:$AA$226,MATCH(RankPoints!Q$4&amp;RankPoints!$B8,Results!$P$2:$P$226,0),24)),INDEX(Results!$B$2:$AA$226,MATCH(RankPoints!Q$4&amp;RankPoints!$B8,Results!$Q$2:$Q$226,0),25),INDEX(Results!$B$2:$AA$226,MATCH(RankPoints!Q$4&amp;RankPoints!$B8,Results!$P$2:$P$226,0),24)))</f>
        <v>1500</v>
      </c>
      <c r="R9" s="50">
        <f>IF(ISERROR(IF(ISERROR(INDEX(Results!$B$2:$AA$226,MATCH(RankPoints!R$4&amp;RankPoints!$B8,Results!$P$2:$P$226,0),24)),INDEX(Results!$B$2:$AA$226,MATCH(RankPoints!R$4&amp;RankPoints!$B8,Results!$Q$2:$Q$226,0),25),INDEX(Results!$B$2:$AA$226,MATCH(RankPoints!R$4&amp;RankPoints!$B8,Results!$P$2:$P$226,0),24))),R8,IF(ISERROR(INDEX(Results!$B$2:$AA$226,MATCH(RankPoints!R$4&amp;RankPoints!$B8,Results!$P$2:$P$226,0),24)),INDEX(Results!$B$2:$AA$226,MATCH(RankPoints!R$4&amp;RankPoints!$B8,Results!$Q$2:$Q$226,0),25),INDEX(Results!$B$2:$AA$226,MATCH(RankPoints!R$4&amp;RankPoints!$B8,Results!$P$2:$P$226,0),24)))</f>
        <v>1500</v>
      </c>
      <c r="S9" s="50">
        <f>IF(ISERROR(IF(ISERROR(INDEX(Results!$B$2:$AA$226,MATCH(RankPoints!S$4&amp;RankPoints!$B8,Results!$P$2:$P$226,0),24)),INDEX(Results!$B$2:$AA$226,MATCH(RankPoints!S$4&amp;RankPoints!$B8,Results!$Q$2:$Q$226,0),25),INDEX(Results!$B$2:$AA$226,MATCH(RankPoints!S$4&amp;RankPoints!$B8,Results!$P$2:$P$226,0),24))),S8,IF(ISERROR(INDEX(Results!$B$2:$AA$226,MATCH(RankPoints!S$4&amp;RankPoints!$B8,Results!$P$2:$P$226,0),24)),INDEX(Results!$B$2:$AA$226,MATCH(RankPoints!S$4&amp;RankPoints!$B8,Results!$Q$2:$Q$226,0),25),INDEX(Results!$B$2:$AA$226,MATCH(RankPoints!S$4&amp;RankPoints!$B8,Results!$P$2:$P$226,0),24)))</f>
        <v>1516</v>
      </c>
      <c r="T9" s="50">
        <f>IF(ISERROR(IF(ISERROR(INDEX(Results!$B$2:$AA$226,MATCH(RankPoints!T$4&amp;RankPoints!$B8,Results!$P$2:$P$226,0),24)),INDEX(Results!$B$2:$AA$226,MATCH(RankPoints!T$4&amp;RankPoints!$B8,Results!$Q$2:$Q$226,0),25),INDEX(Results!$B$2:$AA$226,MATCH(RankPoints!T$4&amp;RankPoints!$B8,Results!$P$2:$P$226,0),24))),T8,IF(ISERROR(INDEX(Results!$B$2:$AA$226,MATCH(RankPoints!T$4&amp;RankPoints!$B8,Results!$P$2:$P$226,0),24)),INDEX(Results!$B$2:$AA$226,MATCH(RankPoints!T$4&amp;RankPoints!$B8,Results!$Q$2:$Q$226,0),25),INDEX(Results!$B$2:$AA$226,MATCH(RankPoints!T$4&amp;RankPoints!$B8,Results!$P$2:$P$226,0),24)))</f>
        <v>1500</v>
      </c>
      <c r="U9" s="50">
        <f>IF(ISERROR(IF(ISERROR(INDEX(Results!$B$2:$AA$226,MATCH(RankPoints!U$4&amp;RankPoints!$B8,Results!$P$2:$P$226,0),24)),INDEX(Results!$B$2:$AA$226,MATCH(RankPoints!U$4&amp;RankPoints!$B8,Results!$Q$2:$Q$226,0),25),INDEX(Results!$B$2:$AA$226,MATCH(RankPoints!U$4&amp;RankPoints!$B8,Results!$P$2:$P$226,0),24))),U8,IF(ISERROR(INDEX(Results!$B$2:$AA$226,MATCH(RankPoints!U$4&amp;RankPoints!$B8,Results!$P$2:$P$226,0),24)),INDEX(Results!$B$2:$AA$226,MATCH(RankPoints!U$4&amp;RankPoints!$B8,Results!$Q$2:$Q$226,0),25),INDEX(Results!$B$2:$AA$226,MATCH(RankPoints!U$4&amp;RankPoints!$B8,Results!$P$2:$P$226,0),24)))</f>
        <v>1500</v>
      </c>
      <c r="V9" s="50">
        <f>IF(ISERROR(IF(ISERROR(INDEX(Results!$B$2:$AA$226,MATCH(RankPoints!V$4&amp;RankPoints!$B8,Results!$P$2:$P$226,0),24)),INDEX(Results!$B$2:$AA$226,MATCH(RankPoints!V$4&amp;RankPoints!$B8,Results!$Q$2:$Q$226,0),25),INDEX(Results!$B$2:$AA$226,MATCH(RankPoints!V$4&amp;RankPoints!$B8,Results!$P$2:$P$226,0),24))),V8,IF(ISERROR(INDEX(Results!$B$2:$AA$226,MATCH(RankPoints!V$4&amp;RankPoints!$B8,Results!$P$2:$P$226,0),24)),INDEX(Results!$B$2:$AA$226,MATCH(RankPoints!V$4&amp;RankPoints!$B8,Results!$Q$2:$Q$226,0),25),INDEX(Results!$B$2:$AA$226,MATCH(RankPoints!V$4&amp;RankPoints!$B8,Results!$P$2:$P$226,0),24)))</f>
        <v>0</v>
      </c>
      <c r="W9" s="105">
        <f>IF(ISERROR(IF(ISERROR(INDEX(Results!$B$2:$AA$226,MATCH(RankPoints!W$4&amp;RankPoints!$B8,Results!$P$2:$P$226,0),24)),INDEX(Results!$B$2:$AA$226,MATCH(RankPoints!W$4&amp;RankPoints!$B8,Results!$Q$2:$Q$226,0),25),INDEX(Results!$B$2:$AA$226,MATCH(RankPoints!W$4&amp;RankPoints!$B8,Results!$P$2:$P$226,0),24))),W8,IF(ISERROR(INDEX(Results!$B$2:$AA$226,MATCH(RankPoints!W$4&amp;RankPoints!$B8,Results!$P$2:$P$226,0),24)),INDEX(Results!$B$2:$AA$226,MATCH(RankPoints!W$4&amp;RankPoints!$B8,Results!$Q$2:$Q$226,0),25),INDEX(Results!$B$2:$AA$226,MATCH(RankPoints!W$4&amp;RankPoints!$B8,Results!$P$2:$P$226,0),24)))</f>
        <v>1500</v>
      </c>
      <c r="X9" s="106">
        <f>IF(ISERROR(IF(ISERROR(INDEX(Results!$B$2:$AA$226,MATCH(RankPoints!X$4&amp;RankPoints!$B8,Results!$P$2:$P$226,0),24)),INDEX(Results!$B$2:$AA$226,MATCH(RankPoints!X$4&amp;RankPoints!$B8,Results!$Q$2:$Q$226,0),25),INDEX(Results!$B$2:$AA$226,MATCH(RankPoints!X$4&amp;RankPoints!$B8,Results!$P$2:$P$226,0),24))),X8,IF(ISERROR(INDEX(Results!$B$2:$AA$226,MATCH(RankPoints!X$4&amp;RankPoints!$B8,Results!$P$2:$P$226,0),24)),INDEX(Results!$B$2:$AA$226,MATCH(RankPoints!X$4&amp;RankPoints!$B8,Results!$Q$2:$Q$226,0),25),INDEX(Results!$B$2:$AA$226,MATCH(RankPoints!X$4&amp;RankPoints!$B8,Results!$P$2:$P$226,0),24)))</f>
        <v>-3091</v>
      </c>
      <c r="Y9" s="50">
        <f>IF(ISERROR(IF(ISERROR(INDEX(Results!$B$2:$AA$226,MATCH(RankPoints!Y$4&amp;RankPoints!$B8,Results!$P$2:$P$226,0),24)),INDEX(Results!$B$2:$AA$226,MATCH(RankPoints!Y$4&amp;RankPoints!$B8,Results!$Q$2:$Q$226,0),25),INDEX(Results!$B$2:$AA$226,MATCH(RankPoints!Y$4&amp;RankPoints!$B8,Results!$P$2:$P$226,0),24))),Y8,IF(ISERROR(INDEX(Results!$B$2:$AA$226,MATCH(RankPoints!Y$4&amp;RankPoints!$B8,Results!$P$2:$P$226,0),24)),INDEX(Results!$B$2:$AA$226,MATCH(RankPoints!Y$4&amp;RankPoints!$B8,Results!$Q$2:$Q$226,0),25),INDEX(Results!$B$2:$AA$226,MATCH(RankPoints!Y$4&amp;RankPoints!$B8,Results!$P$2:$P$226,0),24)))</f>
        <v>1631</v>
      </c>
      <c r="Z9" s="50">
        <f>IF(ISERROR(IF(ISERROR(INDEX(Results!$B$2:$AA$226,MATCH(RankPoints!Z$4&amp;RankPoints!$B8,Results!$P$2:$P$226,0),24)),INDEX(Results!$B$2:$AA$226,MATCH(RankPoints!Z$4&amp;RankPoints!$B8,Results!$Q$2:$Q$226,0),25),INDEX(Results!$B$2:$AA$226,MATCH(RankPoints!Z$4&amp;RankPoints!$B8,Results!$P$2:$P$226,0),24))),Z8,IF(ISERROR(INDEX(Results!$B$2:$AA$226,MATCH(RankPoints!Z$4&amp;RankPoints!$B8,Results!$P$2:$P$226,0),24)),INDEX(Results!$B$2:$AA$226,MATCH(RankPoints!Z$4&amp;RankPoints!$B8,Results!$Q$2:$Q$226,0),25),INDEX(Results!$B$2:$AA$226,MATCH(RankPoints!Z$4&amp;RankPoints!$B8,Results!$P$2:$P$226,0),24)))</f>
        <v>1546</v>
      </c>
      <c r="AA9" s="50">
        <f>IF(ISERROR(IF(ISERROR(INDEX(Results!$B$2:$AA$226,MATCH(RankPoints!AA$4&amp;RankPoints!$B8,Results!$P$2:$P$226,0),24)),INDEX(Results!$B$2:$AA$226,MATCH(RankPoints!AA$4&amp;RankPoints!$B8,Results!$Q$2:$Q$226,0),25),INDEX(Results!$B$2:$AA$226,MATCH(RankPoints!AA$4&amp;RankPoints!$B8,Results!$P$2:$P$226,0),24))),AA8,IF(ISERROR(INDEX(Results!$B$2:$AA$226,MATCH(RankPoints!AA$4&amp;RankPoints!$B8,Results!$P$2:$P$226,0),24)),INDEX(Results!$B$2:$AA$226,MATCH(RankPoints!AA$4&amp;RankPoints!$B8,Results!$Q$2:$Q$226,0),25),INDEX(Results!$B$2:$AA$226,MATCH(RankPoints!AA$4&amp;RankPoints!$B8,Results!$P$2:$P$226,0),24)))</f>
        <v>1500</v>
      </c>
      <c r="AB9" s="106">
        <f>IF(ISERROR(IF(ISERROR(INDEX(Results!$B$2:$AA$226,MATCH(RankPoints!AB$4&amp;RankPoints!$B8,Results!$P$2:$P$226,0),24)),INDEX(Results!$B$2:$AA$226,MATCH(RankPoints!AB$4&amp;RankPoints!$B8,Results!$Q$2:$Q$226,0),25),INDEX(Results!$B$2:$AA$226,MATCH(RankPoints!AB$4&amp;RankPoints!$B8,Results!$P$2:$P$226,0),24))),AB8,IF(ISERROR(INDEX(Results!$B$2:$AA$226,MATCH(RankPoints!AB$4&amp;RankPoints!$B8,Results!$P$2:$P$226,0),24)),INDEX(Results!$B$2:$AA$226,MATCH(RankPoints!AB$4&amp;RankPoints!$B8,Results!$Q$2:$Q$226,0),25),INDEX(Results!$B$2:$AA$226,MATCH(RankPoints!AB$4&amp;RankPoints!$B8,Results!$P$2:$P$226,0),24)))</f>
        <v>-1578</v>
      </c>
      <c r="AC9" s="50">
        <f>IF(ISERROR(IF(ISERROR(INDEX(Results!$B$2:$AA$226,MATCH(RankPoints!AC$4&amp;RankPoints!$B8,Results!$P$2:$P$226,0),24)),INDEX(Results!$B$2:$AA$226,MATCH(RankPoints!AC$4&amp;RankPoints!$B8,Results!$Q$2:$Q$226,0),25),INDEX(Results!$B$2:$AA$226,MATCH(RankPoints!AC$4&amp;RankPoints!$B8,Results!$P$2:$P$226,0),24))),AC8,IF(ISERROR(INDEX(Results!$B$2:$AA$226,MATCH(RankPoints!AC$4&amp;RankPoints!$B8,Results!$P$2:$P$226,0),24)),INDEX(Results!$B$2:$AA$226,MATCH(RankPoints!AC$4&amp;RankPoints!$B8,Results!$Q$2:$Q$226,0),25),INDEX(Results!$B$2:$AA$226,MATCH(RankPoints!AC$4&amp;RankPoints!$B8,Results!$P$2:$P$226,0),24)))</f>
        <v>1500</v>
      </c>
      <c r="AD9" s="107">
        <f>IF(ISERROR(IF(ISERROR(INDEX(Results!$B$2:$AA$226,MATCH(RankPoints!AD$4&amp;RankPoints!$B8,Results!$P$2:$P$226,0),24)),INDEX(Results!$B$2:$AA$226,MATCH(RankPoints!AD$4&amp;RankPoints!$B8,Results!$Q$2:$Q$226,0),25),INDEX(Results!$B$2:$AA$226,MATCH(RankPoints!AD$4&amp;RankPoints!$B8,Results!$P$2:$P$226,0),24))),AD8,IF(ISERROR(INDEX(Results!$B$2:$AA$226,MATCH(RankPoints!AD$4&amp;RankPoints!$B8,Results!$P$2:$P$226,0),24)),INDEX(Results!$B$2:$AA$226,MATCH(RankPoints!AD$4&amp;RankPoints!$B8,Results!$Q$2:$Q$226,0),25),INDEX(Results!$B$2:$AA$226,MATCH(RankPoints!AD$4&amp;RankPoints!$B8,Results!$P$2:$P$226,0),24)))</f>
        <v>1500</v>
      </c>
      <c r="AE9" s="106">
        <f>IF(ISERROR(IF(ISERROR(INDEX(Results!$B$2:$AA$226,MATCH(RankPoints!AE$4&amp;RankPoints!$B8,Results!$P$2:$P$226,0),24)),INDEX(Results!$B$2:$AA$226,MATCH(RankPoints!AE$4&amp;RankPoints!$B8,Results!$Q$2:$Q$226,0),25),INDEX(Results!$B$2:$AA$226,MATCH(RankPoints!AE$4&amp;RankPoints!$B8,Results!$P$2:$P$226,0),24))),AE8,IF(ISERROR(INDEX(Results!$B$2:$AA$226,MATCH(RankPoints!AE$4&amp;RankPoints!$B8,Results!$P$2:$P$226,0),24)),INDEX(Results!$B$2:$AA$226,MATCH(RankPoints!AE$4&amp;RankPoints!$B8,Results!$Q$2:$Q$226,0),25),INDEX(Results!$B$2:$AA$226,MATCH(RankPoints!AE$4&amp;RankPoints!$B8,Results!$P$2:$P$226,0),24)))</f>
        <v>1476</v>
      </c>
      <c r="AF9" s="106">
        <f>IF(ISERROR(IF(ISERROR(INDEX(Results!$B$2:$AA$226,MATCH(RankPoints!AF$4&amp;RankPoints!$B8,Results!$P$2:$P$226,0),24)),INDEX(Results!$B$2:$AA$226,MATCH(RankPoints!AF$4&amp;RankPoints!$B8,Results!$Q$2:$Q$226,0),25),INDEX(Results!$B$2:$AA$226,MATCH(RankPoints!AF$4&amp;RankPoints!$B8,Results!$P$2:$P$226,0),24))),AF8,IF(ISERROR(INDEX(Results!$B$2:$AA$226,MATCH(RankPoints!AF$4&amp;RankPoints!$B8,Results!$P$2:$P$226,0),24)),INDEX(Results!$B$2:$AA$226,MATCH(RankPoints!AF$4&amp;RankPoints!$B8,Results!$Q$2:$Q$226,0),25),INDEX(Results!$B$2:$AA$226,MATCH(RankPoints!AF$4&amp;RankPoints!$B8,Results!$P$2:$P$226,0),24)))</f>
        <v>1411</v>
      </c>
      <c r="AG9" s="50">
        <f>IF(ISERROR(IF(ISERROR(INDEX(Results!$B$2:$AA$226,MATCH(RankPoints!AG$4&amp;RankPoints!$B8,Results!$P$2:$P$226,0),24)),INDEX(Results!$B$2:$AA$226,MATCH(RankPoints!AG$4&amp;RankPoints!$B8,Results!$Q$2:$Q$226,0),25),INDEX(Results!$B$2:$AA$226,MATCH(RankPoints!AG$4&amp;RankPoints!$B8,Results!$P$2:$P$226,0),24))),AG8,IF(ISERROR(INDEX(Results!$B$2:$AA$226,MATCH(RankPoints!AG$4&amp;RankPoints!$B8,Results!$P$2:$P$226,0),24)),INDEX(Results!$B$2:$AA$226,MATCH(RankPoints!AG$4&amp;RankPoints!$B8,Results!$Q$2:$Q$226,0),25),INDEX(Results!$B$2:$AA$226,MATCH(RankPoints!AG$4&amp;RankPoints!$B8,Results!$P$2:$P$226,0),24)))</f>
        <v>351</v>
      </c>
      <c r="AH9" s="50">
        <f>IF(ISERROR(IF(ISERROR(INDEX(Results!$B$2:$AA$226,MATCH(RankPoints!AH$4&amp;RankPoints!$B8,Results!$P$2:$P$226,0),24)),INDEX(Results!$B$2:$AA$226,MATCH(RankPoints!AH$4&amp;RankPoints!$B8,Results!$Q$2:$Q$226,0),25),INDEX(Results!$B$2:$AA$226,MATCH(RankPoints!AH$4&amp;RankPoints!$B8,Results!$P$2:$P$226,0),24))),AH8,IF(ISERROR(INDEX(Results!$B$2:$AA$226,MATCH(RankPoints!AH$4&amp;RankPoints!$B8,Results!$P$2:$P$226,0),24)),INDEX(Results!$B$2:$AA$226,MATCH(RankPoints!AH$4&amp;RankPoints!$B8,Results!$Q$2:$Q$226,0),25),INDEX(Results!$B$2:$AA$226,MATCH(RankPoints!AH$4&amp;RankPoints!$B8,Results!$P$2:$P$226,0),24)))</f>
        <v>1500</v>
      </c>
      <c r="AI9" s="50">
        <f>IF(ISERROR(IF(ISERROR(INDEX(Results!$B$2:$AA$226,MATCH(RankPoints!AI$4&amp;RankPoints!$B8,Results!$P$2:$P$226,0),24)),INDEX(Results!$B$2:$AA$226,MATCH(RankPoints!AI$4&amp;RankPoints!$B8,Results!$Q$2:$Q$226,0),25),INDEX(Results!$B$2:$AA$226,MATCH(RankPoints!AI$4&amp;RankPoints!$B8,Results!$P$2:$P$226,0),24))),AI8,IF(ISERROR(INDEX(Results!$B$2:$AA$226,MATCH(RankPoints!AI$4&amp;RankPoints!$B8,Results!$P$2:$P$226,0),24)),INDEX(Results!$B$2:$AA$226,MATCH(RankPoints!AI$4&amp;RankPoints!$B8,Results!$Q$2:$Q$226,0),25),INDEX(Results!$B$2:$AA$226,MATCH(RankPoints!AI$4&amp;RankPoints!$B8,Results!$P$2:$P$226,0),24)))</f>
        <v>1500</v>
      </c>
      <c r="AJ9" s="106">
        <f>IF(ISERROR(IF(ISERROR(INDEX(Results!$B$2:$AA$226,MATCH(RankPoints!AJ$4&amp;RankPoints!$B8,Results!$P$2:$P$226,0),24)),INDEX(Results!$B$2:$AA$226,MATCH(RankPoints!AJ$4&amp;RankPoints!$B8,Results!$Q$2:$Q$226,0),25),INDEX(Results!$B$2:$AA$226,MATCH(RankPoints!AJ$4&amp;RankPoints!$B8,Results!$P$2:$P$226,0),24))),AJ8,IF(ISERROR(INDEX(Results!$B$2:$AA$226,MATCH(RankPoints!AJ$4&amp;RankPoints!$B8,Results!$P$2:$P$226,0),24)),INDEX(Results!$B$2:$AA$226,MATCH(RankPoints!AJ$4&amp;RankPoints!$B8,Results!$Q$2:$Q$226,0),25),INDEX(Results!$B$2:$AA$226,MATCH(RankPoints!AJ$4&amp;RankPoints!$B8,Results!$P$2:$P$226,0),24)))</f>
        <v>1493</v>
      </c>
      <c r="AK9" s="107">
        <f>IF(ISERROR(IF(ISERROR(INDEX(Results!$B$2:$AA$226,MATCH(RankPoints!AK$4&amp;RankPoints!$B8,Results!$P$2:$P$226,0),24)),INDEX(Results!$B$2:$AA$226,MATCH(RankPoints!AK$4&amp;RankPoints!$B8,Results!$Q$2:$Q$226,0),25),INDEX(Results!$B$2:$AA$226,MATCH(RankPoints!AK$4&amp;RankPoints!$B8,Results!$P$2:$P$226,0),24))),AK8,IF(ISERROR(INDEX(Results!$B$2:$AA$226,MATCH(RankPoints!AK$4&amp;RankPoints!$B8,Results!$P$2:$P$226,0),24)),INDEX(Results!$B$2:$AA$226,MATCH(RankPoints!AK$4&amp;RankPoints!$B8,Results!$Q$2:$Q$226,0),25),INDEX(Results!$B$2:$AA$226,MATCH(RankPoints!AK$4&amp;RankPoints!$B8,Results!$P$2:$P$226,0),24)))</f>
        <v>326</v>
      </c>
    </row>
    <row r="10" spans="2:37" ht="12.75">
      <c r="B10" s="114">
        <f t="shared" si="0"/>
        <v>6</v>
      </c>
      <c r="C10" s="104">
        <f>IF(ISERROR(IF(ISERROR(INDEX(Results!$B$2:$AA$226,MATCH(RankPoints!C$4&amp;RankPoints!$B9,Results!$P$2:$P$226,0),24)),INDEX(Results!$B$2:$AA$226,MATCH(RankPoints!C$4&amp;RankPoints!$B9,Results!$Q$2:$Q$226,0),25),INDEX(Results!$B$2:$AA$226,MATCH(RankPoints!C$4&amp;RankPoints!$B9,Results!$P$2:$P$226,0),24))),C9,IF(ISERROR(INDEX(Results!$B$2:$AA$226,MATCH(RankPoints!C$4&amp;RankPoints!$B9,Results!$P$2:$P$226,0),24)),INDEX(Results!$B$2:$AA$226,MATCH(RankPoints!C$4&amp;RankPoints!$B9,Results!$Q$2:$Q$226,0),25),INDEX(Results!$B$2:$AA$226,MATCH(RankPoints!C$4&amp;RankPoints!$B9,Results!$P$2:$P$226,0),24)))</f>
        <v>1500</v>
      </c>
      <c r="D10" s="106">
        <f>IF(ISERROR(IF(ISERROR(INDEX(Results!$B$2:$AA$226,MATCH(RankPoints!D$4&amp;RankPoints!$B9,Results!$P$2:$P$226,0),24)),INDEX(Results!$B$2:$AA$226,MATCH(RankPoints!D$4&amp;RankPoints!$B9,Results!$Q$2:$Q$226,0),25),INDEX(Results!$B$2:$AA$226,MATCH(RankPoints!D$4&amp;RankPoints!$B9,Results!$P$2:$P$226,0),24))),D9,IF(ISERROR(INDEX(Results!$B$2:$AA$226,MATCH(RankPoints!D$4&amp;RankPoints!$B9,Results!$P$2:$P$226,0),24)),INDEX(Results!$B$2:$AA$226,MATCH(RankPoints!D$4&amp;RankPoints!$B9,Results!$Q$2:$Q$226,0),25),INDEX(Results!$B$2:$AA$226,MATCH(RankPoints!D$4&amp;RankPoints!$B9,Results!$P$2:$P$226,0),24)))</f>
        <v>0</v>
      </c>
      <c r="E10" s="106">
        <f>IF(ISERROR(IF(ISERROR(INDEX(Results!$B$2:$AA$226,MATCH(RankPoints!E$4&amp;RankPoints!$B9,Results!$P$2:$P$226,0),24)),INDEX(Results!$B$2:$AA$226,MATCH(RankPoints!E$4&amp;RankPoints!$B9,Results!$Q$2:$Q$226,0),25),INDEX(Results!$B$2:$AA$226,MATCH(RankPoints!E$4&amp;RankPoints!$B9,Results!$P$2:$P$226,0),24))),E9,IF(ISERROR(INDEX(Results!$B$2:$AA$226,MATCH(RankPoints!E$4&amp;RankPoints!$B9,Results!$P$2:$P$226,0),24)),INDEX(Results!$B$2:$AA$226,MATCH(RankPoints!E$4&amp;RankPoints!$B9,Results!$Q$2:$Q$226,0),25),INDEX(Results!$B$2:$AA$226,MATCH(RankPoints!E$4&amp;RankPoints!$B9,Results!$P$2:$P$226,0),24)))</f>
        <v>1731</v>
      </c>
      <c r="F10" s="50">
        <f>IF(ISERROR(IF(ISERROR(INDEX(Results!$B$2:$AA$226,MATCH(RankPoints!F$4&amp;RankPoints!$B9,Results!$P$2:$P$226,0),24)),INDEX(Results!$B$2:$AA$226,MATCH(RankPoints!F$4&amp;RankPoints!$B9,Results!$Q$2:$Q$226,0),25),INDEX(Results!$B$2:$AA$226,MATCH(RankPoints!F$4&amp;RankPoints!$B9,Results!$P$2:$P$226,0),24))),F9,IF(ISERROR(INDEX(Results!$B$2:$AA$226,MATCH(RankPoints!F$4&amp;RankPoints!$B9,Results!$P$2:$P$226,0),24)),INDEX(Results!$B$2:$AA$226,MATCH(RankPoints!F$4&amp;RankPoints!$B9,Results!$Q$2:$Q$226,0),25),INDEX(Results!$B$2:$AA$226,MATCH(RankPoints!F$4&amp;RankPoints!$B9,Results!$P$2:$P$226,0),24)))</f>
        <v>1500</v>
      </c>
      <c r="G10" s="50">
        <f>IF(ISERROR(IF(ISERROR(INDEX(Results!$B$2:$AA$226,MATCH(RankPoints!G$4&amp;RankPoints!$B9,Results!$P$2:$P$226,0),24)),INDEX(Results!$B$2:$AA$226,MATCH(RankPoints!G$4&amp;RankPoints!$B9,Results!$Q$2:$Q$226,0),25),INDEX(Results!$B$2:$AA$226,MATCH(RankPoints!G$4&amp;RankPoints!$B9,Results!$P$2:$P$226,0),24))),G9,IF(ISERROR(INDEX(Results!$B$2:$AA$226,MATCH(RankPoints!G$4&amp;RankPoints!$B9,Results!$P$2:$P$226,0),24)),INDEX(Results!$B$2:$AA$226,MATCH(RankPoints!G$4&amp;RankPoints!$B9,Results!$Q$2:$Q$226,0),25),INDEX(Results!$B$2:$AA$226,MATCH(RankPoints!G$4&amp;RankPoints!$B9,Results!$P$2:$P$226,0),24)))</f>
        <v>1651</v>
      </c>
      <c r="H10" s="50">
        <f>IF(ISERROR(IF(ISERROR(INDEX(Results!$B$2:$AA$226,MATCH(RankPoints!H$4&amp;RankPoints!$B9,Results!$P$2:$P$226,0),24)),INDEX(Results!$B$2:$AA$226,MATCH(RankPoints!H$4&amp;RankPoints!$B9,Results!$Q$2:$Q$226,0),25),INDEX(Results!$B$2:$AA$226,MATCH(RankPoints!H$4&amp;RankPoints!$B9,Results!$P$2:$P$226,0),24))),H9,IF(ISERROR(INDEX(Results!$B$2:$AA$226,MATCH(RankPoints!H$4&amp;RankPoints!$B9,Results!$P$2:$P$226,0),24)),INDEX(Results!$B$2:$AA$226,MATCH(RankPoints!H$4&amp;RankPoints!$B9,Results!$Q$2:$Q$226,0),25),INDEX(Results!$B$2:$AA$226,MATCH(RankPoints!H$4&amp;RankPoints!$B9,Results!$P$2:$P$226,0),24)))</f>
        <v>1516</v>
      </c>
      <c r="I10" s="105">
        <f>IF(ISERROR(IF(ISERROR(INDEX(Results!$B$2:$AA$226,MATCH(RankPoints!I$4&amp;RankPoints!$B9,Results!$P$2:$P$226,0),24)),INDEX(Results!$B$2:$AA$226,MATCH(RankPoints!I$4&amp;RankPoints!$B9,Results!$Q$2:$Q$226,0),25),INDEX(Results!$B$2:$AA$226,MATCH(RankPoints!I$4&amp;RankPoints!$B9,Results!$P$2:$P$226,0),24))),I9,IF(ISERROR(INDEX(Results!$B$2:$AA$226,MATCH(RankPoints!I$4&amp;RankPoints!$B9,Results!$P$2:$P$226,0),24)),INDEX(Results!$B$2:$AA$226,MATCH(RankPoints!I$4&amp;RankPoints!$B9,Results!$Q$2:$Q$226,0),25),INDEX(Results!$B$2:$AA$226,MATCH(RankPoints!I$4&amp;RankPoints!$B9,Results!$P$2:$P$226,0),24)))</f>
        <v>1500</v>
      </c>
      <c r="J10" s="106">
        <f>IF(ISERROR(IF(ISERROR(INDEX(Results!$B$2:$AA$226,MATCH(RankPoints!J$4&amp;RankPoints!$B9,Results!$P$2:$P$226,0),24)),INDEX(Results!$B$2:$AA$226,MATCH(RankPoints!J$4&amp;RankPoints!$B9,Results!$Q$2:$Q$226,0),25),INDEX(Results!$B$2:$AA$226,MATCH(RankPoints!J$4&amp;RankPoints!$B9,Results!$P$2:$P$226,0),24))),J9,IF(ISERROR(INDEX(Results!$B$2:$AA$226,MATCH(RankPoints!J$4&amp;RankPoints!$B9,Results!$P$2:$P$226,0),24)),INDEX(Results!$B$2:$AA$226,MATCH(RankPoints!J$4&amp;RankPoints!$B9,Results!$Q$2:$Q$226,0),25),INDEX(Results!$B$2:$AA$226,MATCH(RankPoints!J$4&amp;RankPoints!$B9,Results!$P$2:$P$226,0),24)))</f>
        <v>1627</v>
      </c>
      <c r="K10" s="50">
        <f>IF(ISERROR(IF(ISERROR(INDEX(Results!$B$2:$AA$226,MATCH(RankPoints!K$4&amp;RankPoints!$B9,Results!$P$2:$P$226,0),24)),INDEX(Results!$B$2:$AA$226,MATCH(RankPoints!K$4&amp;RankPoints!$B9,Results!$Q$2:$Q$226,0),25),INDEX(Results!$B$2:$AA$226,MATCH(RankPoints!K$4&amp;RankPoints!$B9,Results!$P$2:$P$226,0),24))),K9,IF(ISERROR(INDEX(Results!$B$2:$AA$226,MATCH(RankPoints!K$4&amp;RankPoints!$B9,Results!$P$2:$P$226,0),24)),INDEX(Results!$B$2:$AA$226,MATCH(RankPoints!K$4&amp;RankPoints!$B9,Results!$Q$2:$Q$226,0),25),INDEX(Results!$B$2:$AA$226,MATCH(RankPoints!K$4&amp;RankPoints!$B9,Results!$P$2:$P$226,0),24)))</f>
        <v>1500</v>
      </c>
      <c r="L10" s="50">
        <f>IF(ISERROR(IF(ISERROR(INDEX(Results!$B$2:$AA$226,MATCH(RankPoints!L$4&amp;RankPoints!$B9,Results!$P$2:$P$226,0),24)),INDEX(Results!$B$2:$AA$226,MATCH(RankPoints!L$4&amp;RankPoints!$B9,Results!$Q$2:$Q$226,0),25),INDEX(Results!$B$2:$AA$226,MATCH(RankPoints!L$4&amp;RankPoints!$B9,Results!$P$2:$P$226,0),24))),L9,IF(ISERROR(INDEX(Results!$B$2:$AA$226,MATCH(RankPoints!L$4&amp;RankPoints!$B9,Results!$P$2:$P$226,0),24)),INDEX(Results!$B$2:$AA$226,MATCH(RankPoints!L$4&amp;RankPoints!$B9,Results!$Q$2:$Q$226,0),25),INDEX(Results!$B$2:$AA$226,MATCH(RankPoints!L$4&amp;RankPoints!$B9,Results!$P$2:$P$226,0),24)))</f>
        <v>1500</v>
      </c>
      <c r="M10" s="106">
        <f>IF(ISERROR(IF(ISERROR(INDEX(Results!$B$2:$AA$226,MATCH(RankPoints!M$4&amp;RankPoints!$B9,Results!$P$2:$P$226,0),24)),INDEX(Results!$B$2:$AA$226,MATCH(RankPoints!M$4&amp;RankPoints!$B9,Results!$Q$2:$Q$226,0),25),INDEX(Results!$B$2:$AA$226,MATCH(RankPoints!M$4&amp;RankPoints!$B9,Results!$P$2:$P$226,0),24))),M9,IF(ISERROR(INDEX(Results!$B$2:$AA$226,MATCH(RankPoints!M$4&amp;RankPoints!$B9,Results!$P$2:$P$226,0),24)),INDEX(Results!$B$2:$AA$226,MATCH(RankPoints!M$4&amp;RankPoints!$B9,Results!$Q$2:$Q$226,0),25),INDEX(Results!$B$2:$AA$226,MATCH(RankPoints!M$4&amp;RankPoints!$B9,Results!$P$2:$P$226,0),24)))</f>
        <v>1380</v>
      </c>
      <c r="N10" s="106">
        <f>IF(ISERROR(IF(ISERROR(INDEX(Results!$B$2:$AA$226,MATCH(RankPoints!N$4&amp;RankPoints!$B9,Results!$P$2:$P$226,0),24)),INDEX(Results!$B$2:$AA$226,MATCH(RankPoints!N$4&amp;RankPoints!$B9,Results!$Q$2:$Q$226,0),25),INDEX(Results!$B$2:$AA$226,MATCH(RankPoints!N$4&amp;RankPoints!$B9,Results!$P$2:$P$226,0),24))),N9,IF(ISERROR(INDEX(Results!$B$2:$AA$226,MATCH(RankPoints!N$4&amp;RankPoints!$B9,Results!$P$2:$P$226,0),24)),INDEX(Results!$B$2:$AA$226,MATCH(RankPoints!N$4&amp;RankPoints!$B9,Results!$Q$2:$Q$226,0),25),INDEX(Results!$B$2:$AA$226,MATCH(RankPoints!N$4&amp;RankPoints!$B9,Results!$P$2:$P$226,0),24)))</f>
        <v>-1223</v>
      </c>
      <c r="O10" s="50">
        <f>IF(ISERROR(IF(ISERROR(INDEX(Results!$B$2:$AA$226,MATCH(RankPoints!O$4&amp;RankPoints!$B9,Results!$P$2:$P$226,0),24)),INDEX(Results!$B$2:$AA$226,MATCH(RankPoints!O$4&amp;RankPoints!$B9,Results!$Q$2:$Q$226,0),25),INDEX(Results!$B$2:$AA$226,MATCH(RankPoints!O$4&amp;RankPoints!$B9,Results!$P$2:$P$226,0),24))),O9,IF(ISERROR(INDEX(Results!$B$2:$AA$226,MATCH(RankPoints!O$4&amp;RankPoints!$B9,Results!$P$2:$P$226,0),24)),INDEX(Results!$B$2:$AA$226,MATCH(RankPoints!O$4&amp;RankPoints!$B9,Results!$Q$2:$Q$226,0),25),INDEX(Results!$B$2:$AA$226,MATCH(RankPoints!O$4&amp;RankPoints!$B9,Results!$P$2:$P$226,0),24)))</f>
        <v>1500</v>
      </c>
      <c r="P10" s="105">
        <f>IF(ISERROR(IF(ISERROR(INDEX(Results!$B$2:$AA$226,MATCH(RankPoints!P$4&amp;RankPoints!$B9,Results!$P$2:$P$226,0),24)),INDEX(Results!$B$2:$AA$226,MATCH(RankPoints!P$4&amp;RankPoints!$B9,Results!$Q$2:$Q$226,0),25),INDEX(Results!$B$2:$AA$226,MATCH(RankPoints!P$4&amp;RankPoints!$B9,Results!$P$2:$P$226,0),24))),P9,IF(ISERROR(INDEX(Results!$B$2:$AA$226,MATCH(RankPoints!P$4&amp;RankPoints!$B9,Results!$P$2:$P$226,0),24)),INDEX(Results!$B$2:$AA$226,MATCH(RankPoints!P$4&amp;RankPoints!$B9,Results!$Q$2:$Q$226,0),25),INDEX(Results!$B$2:$AA$226,MATCH(RankPoints!P$4&amp;RankPoints!$B9,Results!$P$2:$P$226,0),24)))</f>
        <v>1500</v>
      </c>
      <c r="Q10" s="50">
        <f>IF(ISERROR(IF(ISERROR(INDEX(Results!$B$2:$AA$226,MATCH(RankPoints!Q$4&amp;RankPoints!$B9,Results!$P$2:$P$226,0),24)),INDEX(Results!$B$2:$AA$226,MATCH(RankPoints!Q$4&amp;RankPoints!$B9,Results!$Q$2:$Q$226,0),25),INDEX(Results!$B$2:$AA$226,MATCH(RankPoints!Q$4&amp;RankPoints!$B9,Results!$P$2:$P$226,0),24))),Q9,IF(ISERROR(INDEX(Results!$B$2:$AA$226,MATCH(RankPoints!Q$4&amp;RankPoints!$B9,Results!$P$2:$P$226,0),24)),INDEX(Results!$B$2:$AA$226,MATCH(RankPoints!Q$4&amp;RankPoints!$B9,Results!$Q$2:$Q$226,0),25),INDEX(Results!$B$2:$AA$226,MATCH(RankPoints!Q$4&amp;RankPoints!$B9,Results!$P$2:$P$226,0),24)))</f>
        <v>1500</v>
      </c>
      <c r="R10" s="50">
        <f>IF(ISERROR(IF(ISERROR(INDEX(Results!$B$2:$AA$226,MATCH(RankPoints!R$4&amp;RankPoints!$B9,Results!$P$2:$P$226,0),24)),INDEX(Results!$B$2:$AA$226,MATCH(RankPoints!R$4&amp;RankPoints!$B9,Results!$Q$2:$Q$226,0),25),INDEX(Results!$B$2:$AA$226,MATCH(RankPoints!R$4&amp;RankPoints!$B9,Results!$P$2:$P$226,0),24))),R9,IF(ISERROR(INDEX(Results!$B$2:$AA$226,MATCH(RankPoints!R$4&amp;RankPoints!$B9,Results!$P$2:$P$226,0),24)),INDEX(Results!$B$2:$AA$226,MATCH(RankPoints!R$4&amp;RankPoints!$B9,Results!$Q$2:$Q$226,0),25),INDEX(Results!$B$2:$AA$226,MATCH(RankPoints!R$4&amp;RankPoints!$B9,Results!$P$2:$P$226,0),24)))</f>
        <v>1500</v>
      </c>
      <c r="S10" s="50">
        <f>IF(ISERROR(IF(ISERROR(INDEX(Results!$B$2:$AA$226,MATCH(RankPoints!S$4&amp;RankPoints!$B9,Results!$P$2:$P$226,0),24)),INDEX(Results!$B$2:$AA$226,MATCH(RankPoints!S$4&amp;RankPoints!$B9,Results!$Q$2:$Q$226,0),25),INDEX(Results!$B$2:$AA$226,MATCH(RankPoints!S$4&amp;RankPoints!$B9,Results!$P$2:$P$226,0),24))),S9,IF(ISERROR(INDEX(Results!$B$2:$AA$226,MATCH(RankPoints!S$4&amp;RankPoints!$B9,Results!$P$2:$P$226,0),24)),INDEX(Results!$B$2:$AA$226,MATCH(RankPoints!S$4&amp;RankPoints!$B9,Results!$Q$2:$Q$226,0),25),INDEX(Results!$B$2:$AA$226,MATCH(RankPoints!S$4&amp;RankPoints!$B9,Results!$P$2:$P$226,0),24)))</f>
        <v>1516</v>
      </c>
      <c r="T10" s="50">
        <f>IF(ISERROR(IF(ISERROR(INDEX(Results!$B$2:$AA$226,MATCH(RankPoints!T$4&amp;RankPoints!$B9,Results!$P$2:$P$226,0),24)),INDEX(Results!$B$2:$AA$226,MATCH(RankPoints!T$4&amp;RankPoints!$B9,Results!$Q$2:$Q$226,0),25),INDEX(Results!$B$2:$AA$226,MATCH(RankPoints!T$4&amp;RankPoints!$B9,Results!$P$2:$P$226,0),24))),T9,IF(ISERROR(INDEX(Results!$B$2:$AA$226,MATCH(RankPoints!T$4&amp;RankPoints!$B9,Results!$P$2:$P$226,0),24)),INDEX(Results!$B$2:$AA$226,MATCH(RankPoints!T$4&amp;RankPoints!$B9,Results!$Q$2:$Q$226,0),25),INDEX(Results!$B$2:$AA$226,MATCH(RankPoints!T$4&amp;RankPoints!$B9,Results!$P$2:$P$226,0),24)))</f>
        <v>1500</v>
      </c>
      <c r="U10" s="50">
        <f>IF(ISERROR(IF(ISERROR(INDEX(Results!$B$2:$AA$226,MATCH(RankPoints!U$4&amp;RankPoints!$B9,Results!$P$2:$P$226,0),24)),INDEX(Results!$B$2:$AA$226,MATCH(RankPoints!U$4&amp;RankPoints!$B9,Results!$Q$2:$Q$226,0),25),INDEX(Results!$B$2:$AA$226,MATCH(RankPoints!U$4&amp;RankPoints!$B9,Results!$P$2:$P$226,0),24))),U9,IF(ISERROR(INDEX(Results!$B$2:$AA$226,MATCH(RankPoints!U$4&amp;RankPoints!$B9,Results!$P$2:$P$226,0),24)),INDEX(Results!$B$2:$AA$226,MATCH(RankPoints!U$4&amp;RankPoints!$B9,Results!$Q$2:$Q$226,0),25),INDEX(Results!$B$2:$AA$226,MATCH(RankPoints!U$4&amp;RankPoints!$B9,Results!$P$2:$P$226,0),24)))</f>
        <v>1500</v>
      </c>
      <c r="V10" s="50">
        <f>IF(ISERROR(IF(ISERROR(INDEX(Results!$B$2:$AA$226,MATCH(RankPoints!V$4&amp;RankPoints!$B9,Results!$P$2:$P$226,0),24)),INDEX(Results!$B$2:$AA$226,MATCH(RankPoints!V$4&amp;RankPoints!$B9,Results!$Q$2:$Q$226,0),25),INDEX(Results!$B$2:$AA$226,MATCH(RankPoints!V$4&amp;RankPoints!$B9,Results!$P$2:$P$226,0),24))),V9,IF(ISERROR(INDEX(Results!$B$2:$AA$226,MATCH(RankPoints!V$4&amp;RankPoints!$B9,Results!$P$2:$P$226,0),24)),INDEX(Results!$B$2:$AA$226,MATCH(RankPoints!V$4&amp;RankPoints!$B9,Results!$Q$2:$Q$226,0),25),INDEX(Results!$B$2:$AA$226,MATCH(RankPoints!V$4&amp;RankPoints!$B9,Results!$P$2:$P$226,0),24)))</f>
        <v>0</v>
      </c>
      <c r="W10" s="105">
        <f>IF(ISERROR(IF(ISERROR(INDEX(Results!$B$2:$AA$226,MATCH(RankPoints!W$4&amp;RankPoints!$B9,Results!$P$2:$P$226,0),24)),INDEX(Results!$B$2:$AA$226,MATCH(RankPoints!W$4&amp;RankPoints!$B9,Results!$Q$2:$Q$226,0),25),INDEX(Results!$B$2:$AA$226,MATCH(RankPoints!W$4&amp;RankPoints!$B9,Results!$P$2:$P$226,0),24))),W9,IF(ISERROR(INDEX(Results!$B$2:$AA$226,MATCH(RankPoints!W$4&amp;RankPoints!$B9,Results!$P$2:$P$226,0),24)),INDEX(Results!$B$2:$AA$226,MATCH(RankPoints!W$4&amp;RankPoints!$B9,Results!$Q$2:$Q$226,0),25),INDEX(Results!$B$2:$AA$226,MATCH(RankPoints!W$4&amp;RankPoints!$B9,Results!$P$2:$P$226,0),24)))</f>
        <v>1500</v>
      </c>
      <c r="X10" s="106">
        <f>IF(ISERROR(IF(ISERROR(INDEX(Results!$B$2:$AA$226,MATCH(RankPoints!X$4&amp;RankPoints!$B9,Results!$P$2:$P$226,0),24)),INDEX(Results!$B$2:$AA$226,MATCH(RankPoints!X$4&amp;RankPoints!$B9,Results!$Q$2:$Q$226,0),25),INDEX(Results!$B$2:$AA$226,MATCH(RankPoints!X$4&amp;RankPoints!$B9,Results!$P$2:$P$226,0),24))),X9,IF(ISERROR(INDEX(Results!$B$2:$AA$226,MATCH(RankPoints!X$4&amp;RankPoints!$B9,Results!$P$2:$P$226,0),24)),INDEX(Results!$B$2:$AA$226,MATCH(RankPoints!X$4&amp;RankPoints!$B9,Results!$Q$2:$Q$226,0),25),INDEX(Results!$B$2:$AA$226,MATCH(RankPoints!X$4&amp;RankPoints!$B9,Results!$P$2:$P$226,0),24)))</f>
        <v>-3091</v>
      </c>
      <c r="Y10" s="50">
        <f>IF(ISERROR(IF(ISERROR(INDEX(Results!$B$2:$AA$226,MATCH(RankPoints!Y$4&amp;RankPoints!$B9,Results!$P$2:$P$226,0),24)),INDEX(Results!$B$2:$AA$226,MATCH(RankPoints!Y$4&amp;RankPoints!$B9,Results!$Q$2:$Q$226,0),25),INDEX(Results!$B$2:$AA$226,MATCH(RankPoints!Y$4&amp;RankPoints!$B9,Results!$P$2:$P$226,0),24))),Y9,IF(ISERROR(INDEX(Results!$B$2:$AA$226,MATCH(RankPoints!Y$4&amp;RankPoints!$B9,Results!$P$2:$P$226,0),24)),INDEX(Results!$B$2:$AA$226,MATCH(RankPoints!Y$4&amp;RankPoints!$B9,Results!$Q$2:$Q$226,0),25),INDEX(Results!$B$2:$AA$226,MATCH(RankPoints!Y$4&amp;RankPoints!$B9,Results!$P$2:$P$226,0),24)))</f>
        <v>-85</v>
      </c>
      <c r="Z10" s="50">
        <f>IF(ISERROR(IF(ISERROR(INDEX(Results!$B$2:$AA$226,MATCH(RankPoints!Z$4&amp;RankPoints!$B9,Results!$P$2:$P$226,0),24)),INDEX(Results!$B$2:$AA$226,MATCH(RankPoints!Z$4&amp;RankPoints!$B9,Results!$Q$2:$Q$226,0),25),INDEX(Results!$B$2:$AA$226,MATCH(RankPoints!Z$4&amp;RankPoints!$B9,Results!$P$2:$P$226,0),24))),Z9,IF(ISERROR(INDEX(Results!$B$2:$AA$226,MATCH(RankPoints!Z$4&amp;RankPoints!$B9,Results!$P$2:$P$226,0),24)),INDEX(Results!$B$2:$AA$226,MATCH(RankPoints!Z$4&amp;RankPoints!$B9,Results!$Q$2:$Q$226,0),25),INDEX(Results!$B$2:$AA$226,MATCH(RankPoints!Z$4&amp;RankPoints!$B9,Results!$P$2:$P$226,0),24)))</f>
        <v>1619</v>
      </c>
      <c r="AA10" s="50">
        <f>IF(ISERROR(IF(ISERROR(INDEX(Results!$B$2:$AA$226,MATCH(RankPoints!AA$4&amp;RankPoints!$B9,Results!$P$2:$P$226,0),24)),INDEX(Results!$B$2:$AA$226,MATCH(RankPoints!AA$4&amp;RankPoints!$B9,Results!$Q$2:$Q$226,0),25),INDEX(Results!$B$2:$AA$226,MATCH(RankPoints!AA$4&amp;RankPoints!$B9,Results!$P$2:$P$226,0),24))),AA9,IF(ISERROR(INDEX(Results!$B$2:$AA$226,MATCH(RankPoints!AA$4&amp;RankPoints!$B9,Results!$P$2:$P$226,0),24)),INDEX(Results!$B$2:$AA$226,MATCH(RankPoints!AA$4&amp;RankPoints!$B9,Results!$Q$2:$Q$226,0),25),INDEX(Results!$B$2:$AA$226,MATCH(RankPoints!AA$4&amp;RankPoints!$B9,Results!$P$2:$P$226,0),24)))</f>
        <v>1500</v>
      </c>
      <c r="AB10" s="106">
        <f>IF(ISERROR(IF(ISERROR(INDEX(Results!$B$2:$AA$226,MATCH(RankPoints!AB$4&amp;RankPoints!$B9,Results!$P$2:$P$226,0),24)),INDEX(Results!$B$2:$AA$226,MATCH(RankPoints!AB$4&amp;RankPoints!$B9,Results!$Q$2:$Q$226,0),25),INDEX(Results!$B$2:$AA$226,MATCH(RankPoints!AB$4&amp;RankPoints!$B9,Results!$P$2:$P$226,0),24))),AB9,IF(ISERROR(INDEX(Results!$B$2:$AA$226,MATCH(RankPoints!AB$4&amp;RankPoints!$B9,Results!$P$2:$P$226,0),24)),INDEX(Results!$B$2:$AA$226,MATCH(RankPoints!AB$4&amp;RankPoints!$B9,Results!$Q$2:$Q$226,0),25),INDEX(Results!$B$2:$AA$226,MATCH(RankPoints!AB$4&amp;RankPoints!$B9,Results!$P$2:$P$226,0),24)))</f>
        <v>1500</v>
      </c>
      <c r="AC10" s="50">
        <f>IF(ISERROR(IF(ISERROR(INDEX(Results!$B$2:$AA$226,MATCH(RankPoints!AC$4&amp;RankPoints!$B9,Results!$P$2:$P$226,0),24)),INDEX(Results!$B$2:$AA$226,MATCH(RankPoints!AC$4&amp;RankPoints!$B9,Results!$Q$2:$Q$226,0),25),INDEX(Results!$B$2:$AA$226,MATCH(RankPoints!AC$4&amp;RankPoints!$B9,Results!$P$2:$P$226,0),24))),AC9,IF(ISERROR(INDEX(Results!$B$2:$AA$226,MATCH(RankPoints!AC$4&amp;RankPoints!$B9,Results!$P$2:$P$226,0),24)),INDEX(Results!$B$2:$AA$226,MATCH(RankPoints!AC$4&amp;RankPoints!$B9,Results!$Q$2:$Q$226,0),25),INDEX(Results!$B$2:$AA$226,MATCH(RankPoints!AC$4&amp;RankPoints!$B9,Results!$P$2:$P$226,0),24)))</f>
        <v>1500</v>
      </c>
      <c r="AD10" s="107">
        <f>IF(ISERROR(IF(ISERROR(INDEX(Results!$B$2:$AA$226,MATCH(RankPoints!AD$4&amp;RankPoints!$B9,Results!$P$2:$P$226,0),24)),INDEX(Results!$B$2:$AA$226,MATCH(RankPoints!AD$4&amp;RankPoints!$B9,Results!$Q$2:$Q$226,0),25),INDEX(Results!$B$2:$AA$226,MATCH(RankPoints!AD$4&amp;RankPoints!$B9,Results!$P$2:$P$226,0),24))),AD9,IF(ISERROR(INDEX(Results!$B$2:$AA$226,MATCH(RankPoints!AD$4&amp;RankPoints!$B9,Results!$P$2:$P$226,0),24)),INDEX(Results!$B$2:$AA$226,MATCH(RankPoints!AD$4&amp;RankPoints!$B9,Results!$Q$2:$Q$226,0),25),INDEX(Results!$B$2:$AA$226,MATCH(RankPoints!AD$4&amp;RankPoints!$B9,Results!$P$2:$P$226,0),24)))</f>
        <v>-3078</v>
      </c>
      <c r="AE10" s="106">
        <f>IF(ISERROR(IF(ISERROR(INDEX(Results!$B$2:$AA$226,MATCH(RankPoints!AE$4&amp;RankPoints!$B9,Results!$P$2:$P$226,0),24)),INDEX(Results!$B$2:$AA$226,MATCH(RankPoints!AE$4&amp;RankPoints!$B9,Results!$Q$2:$Q$226,0),25),INDEX(Results!$B$2:$AA$226,MATCH(RankPoints!AE$4&amp;RankPoints!$B9,Results!$P$2:$P$226,0),24))),AE9,IF(ISERROR(INDEX(Results!$B$2:$AA$226,MATCH(RankPoints!AE$4&amp;RankPoints!$B9,Results!$P$2:$P$226,0),24)),INDEX(Results!$B$2:$AA$226,MATCH(RankPoints!AE$4&amp;RankPoints!$B9,Results!$Q$2:$Q$226,0),25),INDEX(Results!$B$2:$AA$226,MATCH(RankPoints!AE$4&amp;RankPoints!$B9,Results!$P$2:$P$226,0),24)))</f>
        <v>1476</v>
      </c>
      <c r="AF10" s="106">
        <f>IF(ISERROR(IF(ISERROR(INDEX(Results!$B$2:$AA$226,MATCH(RankPoints!AF$4&amp;RankPoints!$B9,Results!$P$2:$P$226,0),24)),INDEX(Results!$B$2:$AA$226,MATCH(RankPoints!AF$4&amp;RankPoints!$B9,Results!$Q$2:$Q$226,0),25),INDEX(Results!$B$2:$AA$226,MATCH(RankPoints!AF$4&amp;RankPoints!$B9,Results!$P$2:$P$226,0),24))),AF9,IF(ISERROR(INDEX(Results!$B$2:$AA$226,MATCH(RankPoints!AF$4&amp;RankPoints!$B9,Results!$P$2:$P$226,0),24)),INDEX(Results!$B$2:$AA$226,MATCH(RankPoints!AF$4&amp;RankPoints!$B9,Results!$Q$2:$Q$226,0),25),INDEX(Results!$B$2:$AA$226,MATCH(RankPoints!AF$4&amp;RankPoints!$B9,Results!$P$2:$P$226,0),24)))</f>
        <v>1411</v>
      </c>
      <c r="AG10" s="50">
        <f>IF(ISERROR(IF(ISERROR(INDEX(Results!$B$2:$AA$226,MATCH(RankPoints!AG$4&amp;RankPoints!$B9,Results!$P$2:$P$226,0),24)),INDEX(Results!$B$2:$AA$226,MATCH(RankPoints!AG$4&amp;RankPoints!$B9,Results!$Q$2:$Q$226,0),25),INDEX(Results!$B$2:$AA$226,MATCH(RankPoints!AG$4&amp;RankPoints!$B9,Results!$P$2:$P$226,0),24))),AG9,IF(ISERROR(INDEX(Results!$B$2:$AA$226,MATCH(RankPoints!AG$4&amp;RankPoints!$B9,Results!$P$2:$P$226,0),24)),INDEX(Results!$B$2:$AA$226,MATCH(RankPoints!AG$4&amp;RankPoints!$B9,Results!$Q$2:$Q$226,0),25),INDEX(Results!$B$2:$AA$226,MATCH(RankPoints!AG$4&amp;RankPoints!$B9,Results!$P$2:$P$226,0),24)))</f>
        <v>351</v>
      </c>
      <c r="AH10" s="50">
        <f>IF(ISERROR(IF(ISERROR(INDEX(Results!$B$2:$AA$226,MATCH(RankPoints!AH$4&amp;RankPoints!$B9,Results!$P$2:$P$226,0),24)),INDEX(Results!$B$2:$AA$226,MATCH(RankPoints!AH$4&amp;RankPoints!$B9,Results!$Q$2:$Q$226,0),25),INDEX(Results!$B$2:$AA$226,MATCH(RankPoints!AH$4&amp;RankPoints!$B9,Results!$P$2:$P$226,0),24))),AH9,IF(ISERROR(INDEX(Results!$B$2:$AA$226,MATCH(RankPoints!AH$4&amp;RankPoints!$B9,Results!$P$2:$P$226,0),24)),INDEX(Results!$B$2:$AA$226,MATCH(RankPoints!AH$4&amp;RankPoints!$B9,Results!$Q$2:$Q$226,0),25),INDEX(Results!$B$2:$AA$226,MATCH(RankPoints!AH$4&amp;RankPoints!$B9,Results!$P$2:$P$226,0),24)))</f>
        <v>1500</v>
      </c>
      <c r="AI10" s="50">
        <f>IF(ISERROR(IF(ISERROR(INDEX(Results!$B$2:$AA$226,MATCH(RankPoints!AI$4&amp;RankPoints!$B9,Results!$P$2:$P$226,0),24)),INDEX(Results!$B$2:$AA$226,MATCH(RankPoints!AI$4&amp;RankPoints!$B9,Results!$Q$2:$Q$226,0),25),INDEX(Results!$B$2:$AA$226,MATCH(RankPoints!AI$4&amp;RankPoints!$B9,Results!$P$2:$P$226,0),24))),AI9,IF(ISERROR(INDEX(Results!$B$2:$AA$226,MATCH(RankPoints!AI$4&amp;RankPoints!$B9,Results!$P$2:$P$226,0),24)),INDEX(Results!$B$2:$AA$226,MATCH(RankPoints!AI$4&amp;RankPoints!$B9,Results!$Q$2:$Q$226,0),25),INDEX(Results!$B$2:$AA$226,MATCH(RankPoints!AI$4&amp;RankPoints!$B9,Results!$P$2:$P$226,0),24)))</f>
        <v>1500</v>
      </c>
      <c r="AJ10" s="106">
        <f>IF(ISERROR(IF(ISERROR(INDEX(Results!$B$2:$AA$226,MATCH(RankPoints!AJ$4&amp;RankPoints!$B9,Results!$P$2:$P$226,0),24)),INDEX(Results!$B$2:$AA$226,MATCH(RankPoints!AJ$4&amp;RankPoints!$B9,Results!$Q$2:$Q$226,0),25),INDEX(Results!$B$2:$AA$226,MATCH(RankPoints!AJ$4&amp;RankPoints!$B9,Results!$P$2:$P$226,0),24))),AJ9,IF(ISERROR(INDEX(Results!$B$2:$AA$226,MATCH(RankPoints!AJ$4&amp;RankPoints!$B9,Results!$P$2:$P$226,0),24)),INDEX(Results!$B$2:$AA$226,MATCH(RankPoints!AJ$4&amp;RankPoints!$B9,Results!$Q$2:$Q$226,0),25),INDEX(Results!$B$2:$AA$226,MATCH(RankPoints!AJ$4&amp;RankPoints!$B9,Results!$P$2:$P$226,0),24)))</f>
        <v>1493</v>
      </c>
      <c r="AK10" s="107">
        <f>IF(ISERROR(IF(ISERROR(INDEX(Results!$B$2:$AA$226,MATCH(RankPoints!AK$4&amp;RankPoints!$B9,Results!$P$2:$P$226,0),24)),INDEX(Results!$B$2:$AA$226,MATCH(RankPoints!AK$4&amp;RankPoints!$B9,Results!$Q$2:$Q$226,0),25),INDEX(Results!$B$2:$AA$226,MATCH(RankPoints!AK$4&amp;RankPoints!$B9,Results!$P$2:$P$226,0),24))),AK9,IF(ISERROR(INDEX(Results!$B$2:$AA$226,MATCH(RankPoints!AK$4&amp;RankPoints!$B9,Results!$P$2:$P$226,0),24)),INDEX(Results!$B$2:$AA$226,MATCH(RankPoints!AK$4&amp;RankPoints!$B9,Results!$Q$2:$Q$226,0),25),INDEX(Results!$B$2:$AA$226,MATCH(RankPoints!AK$4&amp;RankPoints!$B9,Results!$P$2:$P$226,0),24)))</f>
        <v>326</v>
      </c>
    </row>
    <row r="11" spans="2:37" ht="12.75">
      <c r="B11" s="114">
        <f t="shared" si="0"/>
        <v>7</v>
      </c>
      <c r="C11" s="104">
        <f>IF(ISERROR(IF(ISERROR(INDEX(Results!$B$2:$AA$226,MATCH(RankPoints!C$4&amp;RankPoints!$B10,Results!$P$2:$P$226,0),24)),INDEX(Results!$B$2:$AA$226,MATCH(RankPoints!C$4&amp;RankPoints!$B10,Results!$Q$2:$Q$226,0),25),INDEX(Results!$B$2:$AA$226,MATCH(RankPoints!C$4&amp;RankPoints!$B10,Results!$P$2:$P$226,0),24))),C10,IF(ISERROR(INDEX(Results!$B$2:$AA$226,MATCH(RankPoints!C$4&amp;RankPoints!$B10,Results!$P$2:$P$226,0),24)),INDEX(Results!$B$2:$AA$226,MATCH(RankPoints!C$4&amp;RankPoints!$B10,Results!$Q$2:$Q$226,0),25),INDEX(Results!$B$2:$AA$226,MATCH(RankPoints!C$4&amp;RankPoints!$B10,Results!$P$2:$P$226,0),24)))</f>
        <v>1500</v>
      </c>
      <c r="D11" s="106">
        <f>IF(ISERROR(IF(ISERROR(INDEX(Results!$B$2:$AA$226,MATCH(RankPoints!D$4&amp;RankPoints!$B10,Results!$P$2:$P$226,0),24)),INDEX(Results!$B$2:$AA$226,MATCH(RankPoints!D$4&amp;RankPoints!$B10,Results!$Q$2:$Q$226,0),25),INDEX(Results!$B$2:$AA$226,MATCH(RankPoints!D$4&amp;RankPoints!$B10,Results!$P$2:$P$226,0),24))),D10,IF(ISERROR(INDEX(Results!$B$2:$AA$226,MATCH(RankPoints!D$4&amp;RankPoints!$B10,Results!$P$2:$P$226,0),24)),INDEX(Results!$B$2:$AA$226,MATCH(RankPoints!D$4&amp;RankPoints!$B10,Results!$Q$2:$Q$226,0),25),INDEX(Results!$B$2:$AA$226,MATCH(RankPoints!D$4&amp;RankPoints!$B10,Results!$P$2:$P$226,0),24)))</f>
        <v>1516</v>
      </c>
      <c r="E11" s="106">
        <f>IF(ISERROR(IF(ISERROR(INDEX(Results!$B$2:$AA$226,MATCH(RankPoints!E$4&amp;RankPoints!$B10,Results!$P$2:$P$226,0),24)),INDEX(Results!$B$2:$AA$226,MATCH(RankPoints!E$4&amp;RankPoints!$B10,Results!$Q$2:$Q$226,0),25),INDEX(Results!$B$2:$AA$226,MATCH(RankPoints!E$4&amp;RankPoints!$B10,Results!$P$2:$P$226,0),24))),E10,IF(ISERROR(INDEX(Results!$B$2:$AA$226,MATCH(RankPoints!E$4&amp;RankPoints!$B10,Results!$P$2:$P$226,0),24)),INDEX(Results!$B$2:$AA$226,MATCH(RankPoints!E$4&amp;RankPoints!$B10,Results!$Q$2:$Q$226,0),25),INDEX(Results!$B$2:$AA$226,MATCH(RankPoints!E$4&amp;RankPoints!$B10,Results!$P$2:$P$226,0),24)))</f>
        <v>1731</v>
      </c>
      <c r="F11" s="50">
        <f>IF(ISERROR(IF(ISERROR(INDEX(Results!$B$2:$AA$226,MATCH(RankPoints!F$4&amp;RankPoints!$B10,Results!$P$2:$P$226,0),24)),INDEX(Results!$B$2:$AA$226,MATCH(RankPoints!F$4&amp;RankPoints!$B10,Results!$Q$2:$Q$226,0),25),INDEX(Results!$B$2:$AA$226,MATCH(RankPoints!F$4&amp;RankPoints!$B10,Results!$P$2:$P$226,0),24))),F10,IF(ISERROR(INDEX(Results!$B$2:$AA$226,MATCH(RankPoints!F$4&amp;RankPoints!$B10,Results!$P$2:$P$226,0),24)),INDEX(Results!$B$2:$AA$226,MATCH(RankPoints!F$4&amp;RankPoints!$B10,Results!$Q$2:$Q$226,0),25),INDEX(Results!$B$2:$AA$226,MATCH(RankPoints!F$4&amp;RankPoints!$B10,Results!$P$2:$P$226,0),24)))</f>
        <v>1500</v>
      </c>
      <c r="G11" s="50">
        <f>IF(ISERROR(IF(ISERROR(INDEX(Results!$B$2:$AA$226,MATCH(RankPoints!G$4&amp;RankPoints!$B10,Results!$P$2:$P$226,0),24)),INDEX(Results!$B$2:$AA$226,MATCH(RankPoints!G$4&amp;RankPoints!$B10,Results!$Q$2:$Q$226,0),25),INDEX(Results!$B$2:$AA$226,MATCH(RankPoints!G$4&amp;RankPoints!$B10,Results!$P$2:$P$226,0),24))),G10,IF(ISERROR(INDEX(Results!$B$2:$AA$226,MATCH(RankPoints!G$4&amp;RankPoints!$B10,Results!$P$2:$P$226,0),24)),INDEX(Results!$B$2:$AA$226,MATCH(RankPoints!G$4&amp;RankPoints!$B10,Results!$Q$2:$Q$226,0),25),INDEX(Results!$B$2:$AA$226,MATCH(RankPoints!G$4&amp;RankPoints!$B10,Results!$P$2:$P$226,0),24)))</f>
        <v>1651</v>
      </c>
      <c r="H11" s="50">
        <f>IF(ISERROR(IF(ISERROR(INDEX(Results!$B$2:$AA$226,MATCH(RankPoints!H$4&amp;RankPoints!$B10,Results!$P$2:$P$226,0),24)),INDEX(Results!$B$2:$AA$226,MATCH(RankPoints!H$4&amp;RankPoints!$B10,Results!$Q$2:$Q$226,0),25),INDEX(Results!$B$2:$AA$226,MATCH(RankPoints!H$4&amp;RankPoints!$B10,Results!$P$2:$P$226,0),24))),H10,IF(ISERROR(INDEX(Results!$B$2:$AA$226,MATCH(RankPoints!H$4&amp;RankPoints!$B10,Results!$P$2:$P$226,0),24)),INDEX(Results!$B$2:$AA$226,MATCH(RankPoints!H$4&amp;RankPoints!$B10,Results!$Q$2:$Q$226,0),25),INDEX(Results!$B$2:$AA$226,MATCH(RankPoints!H$4&amp;RankPoints!$B10,Results!$P$2:$P$226,0),24)))</f>
        <v>0</v>
      </c>
      <c r="I11" s="105">
        <f>IF(ISERROR(IF(ISERROR(INDEX(Results!$B$2:$AA$226,MATCH(RankPoints!I$4&amp;RankPoints!$B10,Results!$P$2:$P$226,0),24)),INDEX(Results!$B$2:$AA$226,MATCH(RankPoints!I$4&amp;RankPoints!$B10,Results!$Q$2:$Q$226,0),25),INDEX(Results!$B$2:$AA$226,MATCH(RankPoints!I$4&amp;RankPoints!$B10,Results!$P$2:$P$226,0),24))),I10,IF(ISERROR(INDEX(Results!$B$2:$AA$226,MATCH(RankPoints!I$4&amp;RankPoints!$B10,Results!$P$2:$P$226,0),24)),INDEX(Results!$B$2:$AA$226,MATCH(RankPoints!I$4&amp;RankPoints!$B10,Results!$Q$2:$Q$226,0),25),INDEX(Results!$B$2:$AA$226,MATCH(RankPoints!I$4&amp;RankPoints!$B10,Results!$P$2:$P$226,0),24)))</f>
        <v>1500</v>
      </c>
      <c r="J11" s="106">
        <f>IF(ISERROR(IF(ISERROR(INDEX(Results!$B$2:$AA$226,MATCH(RankPoints!J$4&amp;RankPoints!$B10,Results!$P$2:$P$226,0),24)),INDEX(Results!$B$2:$AA$226,MATCH(RankPoints!J$4&amp;RankPoints!$B10,Results!$Q$2:$Q$226,0),25),INDEX(Results!$B$2:$AA$226,MATCH(RankPoints!J$4&amp;RankPoints!$B10,Results!$P$2:$P$226,0),24))),J10,IF(ISERROR(INDEX(Results!$B$2:$AA$226,MATCH(RankPoints!J$4&amp;RankPoints!$B10,Results!$P$2:$P$226,0),24)),INDEX(Results!$B$2:$AA$226,MATCH(RankPoints!J$4&amp;RankPoints!$B10,Results!$Q$2:$Q$226,0),25),INDEX(Results!$B$2:$AA$226,MATCH(RankPoints!J$4&amp;RankPoints!$B10,Results!$P$2:$P$226,0),24)))</f>
        <v>1627</v>
      </c>
      <c r="K11" s="50">
        <f>IF(ISERROR(IF(ISERROR(INDEX(Results!$B$2:$AA$226,MATCH(RankPoints!K$4&amp;RankPoints!$B10,Results!$P$2:$P$226,0),24)),INDEX(Results!$B$2:$AA$226,MATCH(RankPoints!K$4&amp;RankPoints!$B10,Results!$Q$2:$Q$226,0),25),INDEX(Results!$B$2:$AA$226,MATCH(RankPoints!K$4&amp;RankPoints!$B10,Results!$P$2:$P$226,0),24))),K10,IF(ISERROR(INDEX(Results!$B$2:$AA$226,MATCH(RankPoints!K$4&amp;RankPoints!$B10,Results!$P$2:$P$226,0),24)),INDEX(Results!$B$2:$AA$226,MATCH(RankPoints!K$4&amp;RankPoints!$B10,Results!$Q$2:$Q$226,0),25),INDEX(Results!$B$2:$AA$226,MATCH(RankPoints!K$4&amp;RankPoints!$B10,Results!$P$2:$P$226,0),24)))</f>
        <v>1500</v>
      </c>
      <c r="L11" s="50">
        <f>IF(ISERROR(IF(ISERROR(INDEX(Results!$B$2:$AA$226,MATCH(RankPoints!L$4&amp;RankPoints!$B10,Results!$P$2:$P$226,0),24)),INDEX(Results!$B$2:$AA$226,MATCH(RankPoints!L$4&amp;RankPoints!$B10,Results!$Q$2:$Q$226,0),25),INDEX(Results!$B$2:$AA$226,MATCH(RankPoints!L$4&amp;RankPoints!$B10,Results!$P$2:$P$226,0),24))),L10,IF(ISERROR(INDEX(Results!$B$2:$AA$226,MATCH(RankPoints!L$4&amp;RankPoints!$B10,Results!$P$2:$P$226,0),24)),INDEX(Results!$B$2:$AA$226,MATCH(RankPoints!L$4&amp;RankPoints!$B10,Results!$Q$2:$Q$226,0),25),INDEX(Results!$B$2:$AA$226,MATCH(RankPoints!L$4&amp;RankPoints!$B10,Results!$P$2:$P$226,0),24)))</f>
        <v>1500</v>
      </c>
      <c r="M11" s="106">
        <f>IF(ISERROR(IF(ISERROR(INDEX(Results!$B$2:$AA$226,MATCH(RankPoints!M$4&amp;RankPoints!$B10,Results!$P$2:$P$226,0),24)),INDEX(Results!$B$2:$AA$226,MATCH(RankPoints!M$4&amp;RankPoints!$B10,Results!$Q$2:$Q$226,0),25),INDEX(Results!$B$2:$AA$226,MATCH(RankPoints!M$4&amp;RankPoints!$B10,Results!$P$2:$P$226,0),24))),M10,IF(ISERROR(INDEX(Results!$B$2:$AA$226,MATCH(RankPoints!M$4&amp;RankPoints!$B10,Results!$P$2:$P$226,0),24)),INDEX(Results!$B$2:$AA$226,MATCH(RankPoints!M$4&amp;RankPoints!$B10,Results!$Q$2:$Q$226,0),25),INDEX(Results!$B$2:$AA$226,MATCH(RankPoints!M$4&amp;RankPoints!$B10,Results!$P$2:$P$226,0),24)))</f>
        <v>1380</v>
      </c>
      <c r="N11" s="106">
        <f>IF(ISERROR(IF(ISERROR(INDEX(Results!$B$2:$AA$226,MATCH(RankPoints!N$4&amp;RankPoints!$B10,Results!$P$2:$P$226,0),24)),INDEX(Results!$B$2:$AA$226,MATCH(RankPoints!N$4&amp;RankPoints!$B10,Results!$Q$2:$Q$226,0),25),INDEX(Results!$B$2:$AA$226,MATCH(RankPoints!N$4&amp;RankPoints!$B10,Results!$P$2:$P$226,0),24))),N10,IF(ISERROR(INDEX(Results!$B$2:$AA$226,MATCH(RankPoints!N$4&amp;RankPoints!$B10,Results!$P$2:$P$226,0),24)),INDEX(Results!$B$2:$AA$226,MATCH(RankPoints!N$4&amp;RankPoints!$B10,Results!$Q$2:$Q$226,0),25),INDEX(Results!$B$2:$AA$226,MATCH(RankPoints!N$4&amp;RankPoints!$B10,Results!$P$2:$P$226,0),24)))</f>
        <v>-1223</v>
      </c>
      <c r="O11" s="50">
        <f>IF(ISERROR(IF(ISERROR(INDEX(Results!$B$2:$AA$226,MATCH(RankPoints!O$4&amp;RankPoints!$B10,Results!$P$2:$P$226,0),24)),INDEX(Results!$B$2:$AA$226,MATCH(RankPoints!O$4&amp;RankPoints!$B10,Results!$Q$2:$Q$226,0),25),INDEX(Results!$B$2:$AA$226,MATCH(RankPoints!O$4&amp;RankPoints!$B10,Results!$P$2:$P$226,0),24))),O10,IF(ISERROR(INDEX(Results!$B$2:$AA$226,MATCH(RankPoints!O$4&amp;RankPoints!$B10,Results!$P$2:$P$226,0),24)),INDEX(Results!$B$2:$AA$226,MATCH(RankPoints!O$4&amp;RankPoints!$B10,Results!$Q$2:$Q$226,0),25),INDEX(Results!$B$2:$AA$226,MATCH(RankPoints!O$4&amp;RankPoints!$B10,Results!$P$2:$P$226,0),24)))</f>
        <v>1500</v>
      </c>
      <c r="P11" s="105">
        <f>IF(ISERROR(IF(ISERROR(INDEX(Results!$B$2:$AA$226,MATCH(RankPoints!P$4&amp;RankPoints!$B10,Results!$P$2:$P$226,0),24)),INDEX(Results!$B$2:$AA$226,MATCH(RankPoints!P$4&amp;RankPoints!$B10,Results!$Q$2:$Q$226,0),25),INDEX(Results!$B$2:$AA$226,MATCH(RankPoints!P$4&amp;RankPoints!$B10,Results!$P$2:$P$226,0),24))),P10,IF(ISERROR(INDEX(Results!$B$2:$AA$226,MATCH(RankPoints!P$4&amp;RankPoints!$B10,Results!$P$2:$P$226,0),24)),INDEX(Results!$B$2:$AA$226,MATCH(RankPoints!P$4&amp;RankPoints!$B10,Results!$Q$2:$Q$226,0),25),INDEX(Results!$B$2:$AA$226,MATCH(RankPoints!P$4&amp;RankPoints!$B10,Results!$P$2:$P$226,0),24)))</f>
        <v>1500</v>
      </c>
      <c r="Q11" s="50">
        <f>IF(ISERROR(IF(ISERROR(INDEX(Results!$B$2:$AA$226,MATCH(RankPoints!Q$4&amp;RankPoints!$B10,Results!$P$2:$P$226,0),24)),INDEX(Results!$B$2:$AA$226,MATCH(RankPoints!Q$4&amp;RankPoints!$B10,Results!$Q$2:$Q$226,0),25),INDEX(Results!$B$2:$AA$226,MATCH(RankPoints!Q$4&amp;RankPoints!$B10,Results!$P$2:$P$226,0),24))),Q10,IF(ISERROR(INDEX(Results!$B$2:$AA$226,MATCH(RankPoints!Q$4&amp;RankPoints!$B10,Results!$P$2:$P$226,0),24)),INDEX(Results!$B$2:$AA$226,MATCH(RankPoints!Q$4&amp;RankPoints!$B10,Results!$Q$2:$Q$226,0),25),INDEX(Results!$B$2:$AA$226,MATCH(RankPoints!Q$4&amp;RankPoints!$B10,Results!$P$2:$P$226,0),24)))</f>
        <v>1500</v>
      </c>
      <c r="R11" s="50">
        <f>IF(ISERROR(IF(ISERROR(INDEX(Results!$B$2:$AA$226,MATCH(RankPoints!R$4&amp;RankPoints!$B10,Results!$P$2:$P$226,0),24)),INDEX(Results!$B$2:$AA$226,MATCH(RankPoints!R$4&amp;RankPoints!$B10,Results!$Q$2:$Q$226,0),25),INDEX(Results!$B$2:$AA$226,MATCH(RankPoints!R$4&amp;RankPoints!$B10,Results!$P$2:$P$226,0),24))),R10,IF(ISERROR(INDEX(Results!$B$2:$AA$226,MATCH(RankPoints!R$4&amp;RankPoints!$B10,Results!$P$2:$P$226,0),24)),INDEX(Results!$B$2:$AA$226,MATCH(RankPoints!R$4&amp;RankPoints!$B10,Results!$Q$2:$Q$226,0),25),INDEX(Results!$B$2:$AA$226,MATCH(RankPoints!R$4&amp;RankPoints!$B10,Results!$P$2:$P$226,0),24)))</f>
        <v>1500</v>
      </c>
      <c r="S11" s="50">
        <f>IF(ISERROR(IF(ISERROR(INDEX(Results!$B$2:$AA$226,MATCH(RankPoints!S$4&amp;RankPoints!$B10,Results!$P$2:$P$226,0),24)),INDEX(Results!$B$2:$AA$226,MATCH(RankPoints!S$4&amp;RankPoints!$B10,Results!$Q$2:$Q$226,0),25),INDEX(Results!$B$2:$AA$226,MATCH(RankPoints!S$4&amp;RankPoints!$B10,Results!$P$2:$P$226,0),24))),S10,IF(ISERROR(INDEX(Results!$B$2:$AA$226,MATCH(RankPoints!S$4&amp;RankPoints!$B10,Results!$P$2:$P$226,0),24)),INDEX(Results!$B$2:$AA$226,MATCH(RankPoints!S$4&amp;RankPoints!$B10,Results!$Q$2:$Q$226,0),25),INDEX(Results!$B$2:$AA$226,MATCH(RankPoints!S$4&amp;RankPoints!$B10,Results!$P$2:$P$226,0),24)))</f>
        <v>1516</v>
      </c>
      <c r="T11" s="50">
        <f>IF(ISERROR(IF(ISERROR(INDEX(Results!$B$2:$AA$226,MATCH(RankPoints!T$4&amp;RankPoints!$B10,Results!$P$2:$P$226,0),24)),INDEX(Results!$B$2:$AA$226,MATCH(RankPoints!T$4&amp;RankPoints!$B10,Results!$Q$2:$Q$226,0),25),INDEX(Results!$B$2:$AA$226,MATCH(RankPoints!T$4&amp;RankPoints!$B10,Results!$P$2:$P$226,0),24))),T10,IF(ISERROR(INDEX(Results!$B$2:$AA$226,MATCH(RankPoints!T$4&amp;RankPoints!$B10,Results!$P$2:$P$226,0),24)),INDEX(Results!$B$2:$AA$226,MATCH(RankPoints!T$4&amp;RankPoints!$B10,Results!$Q$2:$Q$226,0),25),INDEX(Results!$B$2:$AA$226,MATCH(RankPoints!T$4&amp;RankPoints!$B10,Results!$P$2:$P$226,0),24)))</f>
        <v>1500</v>
      </c>
      <c r="U11" s="50">
        <f>IF(ISERROR(IF(ISERROR(INDEX(Results!$B$2:$AA$226,MATCH(RankPoints!U$4&amp;RankPoints!$B10,Results!$P$2:$P$226,0),24)),INDEX(Results!$B$2:$AA$226,MATCH(RankPoints!U$4&amp;RankPoints!$B10,Results!$Q$2:$Q$226,0),25),INDEX(Results!$B$2:$AA$226,MATCH(RankPoints!U$4&amp;RankPoints!$B10,Results!$P$2:$P$226,0),24))),U10,IF(ISERROR(INDEX(Results!$B$2:$AA$226,MATCH(RankPoints!U$4&amp;RankPoints!$B10,Results!$P$2:$P$226,0),24)),INDEX(Results!$B$2:$AA$226,MATCH(RankPoints!U$4&amp;RankPoints!$B10,Results!$Q$2:$Q$226,0),25),INDEX(Results!$B$2:$AA$226,MATCH(RankPoints!U$4&amp;RankPoints!$B10,Results!$P$2:$P$226,0),24)))</f>
        <v>1500</v>
      </c>
      <c r="V11" s="50">
        <f>IF(ISERROR(IF(ISERROR(INDEX(Results!$B$2:$AA$226,MATCH(RankPoints!V$4&amp;RankPoints!$B10,Results!$P$2:$P$226,0),24)),INDEX(Results!$B$2:$AA$226,MATCH(RankPoints!V$4&amp;RankPoints!$B10,Results!$Q$2:$Q$226,0),25),INDEX(Results!$B$2:$AA$226,MATCH(RankPoints!V$4&amp;RankPoints!$B10,Results!$P$2:$P$226,0),24))),V10,IF(ISERROR(INDEX(Results!$B$2:$AA$226,MATCH(RankPoints!V$4&amp;RankPoints!$B10,Results!$P$2:$P$226,0),24)),INDEX(Results!$B$2:$AA$226,MATCH(RankPoints!V$4&amp;RankPoints!$B10,Results!$Q$2:$Q$226,0),25),INDEX(Results!$B$2:$AA$226,MATCH(RankPoints!V$4&amp;RankPoints!$B10,Results!$P$2:$P$226,0),24)))</f>
        <v>0</v>
      </c>
      <c r="W11" s="105">
        <f>IF(ISERROR(IF(ISERROR(INDEX(Results!$B$2:$AA$226,MATCH(RankPoints!W$4&amp;RankPoints!$B10,Results!$P$2:$P$226,0),24)),INDEX(Results!$B$2:$AA$226,MATCH(RankPoints!W$4&amp;RankPoints!$B10,Results!$Q$2:$Q$226,0),25),INDEX(Results!$B$2:$AA$226,MATCH(RankPoints!W$4&amp;RankPoints!$B10,Results!$P$2:$P$226,0),24))),W10,IF(ISERROR(INDEX(Results!$B$2:$AA$226,MATCH(RankPoints!W$4&amp;RankPoints!$B10,Results!$P$2:$P$226,0),24)),INDEX(Results!$B$2:$AA$226,MATCH(RankPoints!W$4&amp;RankPoints!$B10,Results!$Q$2:$Q$226,0),25),INDEX(Results!$B$2:$AA$226,MATCH(RankPoints!W$4&amp;RankPoints!$B10,Results!$P$2:$P$226,0),24)))</f>
        <v>1500</v>
      </c>
      <c r="X11" s="106">
        <f>IF(ISERROR(IF(ISERROR(INDEX(Results!$B$2:$AA$226,MATCH(RankPoints!X$4&amp;RankPoints!$B10,Results!$P$2:$P$226,0),24)),INDEX(Results!$B$2:$AA$226,MATCH(RankPoints!X$4&amp;RankPoints!$B10,Results!$Q$2:$Q$226,0),25),INDEX(Results!$B$2:$AA$226,MATCH(RankPoints!X$4&amp;RankPoints!$B10,Results!$P$2:$P$226,0),24))),X10,IF(ISERROR(INDEX(Results!$B$2:$AA$226,MATCH(RankPoints!X$4&amp;RankPoints!$B10,Results!$P$2:$P$226,0),24)),INDEX(Results!$B$2:$AA$226,MATCH(RankPoints!X$4&amp;RankPoints!$B10,Results!$Q$2:$Q$226,0),25),INDEX(Results!$B$2:$AA$226,MATCH(RankPoints!X$4&amp;RankPoints!$B10,Results!$P$2:$P$226,0),24)))</f>
        <v>-3061</v>
      </c>
      <c r="Y11" s="50">
        <f>IF(ISERROR(IF(ISERROR(INDEX(Results!$B$2:$AA$226,MATCH(RankPoints!Y$4&amp;RankPoints!$B10,Results!$P$2:$P$226,0),24)),INDEX(Results!$B$2:$AA$226,MATCH(RankPoints!Y$4&amp;RankPoints!$B10,Results!$Q$2:$Q$226,0),25),INDEX(Results!$B$2:$AA$226,MATCH(RankPoints!Y$4&amp;RankPoints!$B10,Results!$P$2:$P$226,0),24))),Y10,IF(ISERROR(INDEX(Results!$B$2:$AA$226,MATCH(RankPoints!Y$4&amp;RankPoints!$B10,Results!$P$2:$P$226,0),24)),INDEX(Results!$B$2:$AA$226,MATCH(RankPoints!Y$4&amp;RankPoints!$B10,Results!$Q$2:$Q$226,0),25),INDEX(Results!$B$2:$AA$226,MATCH(RankPoints!Y$4&amp;RankPoints!$B10,Results!$P$2:$P$226,0),24)))</f>
        <v>-85</v>
      </c>
      <c r="Z11" s="50">
        <f>IF(ISERROR(IF(ISERROR(INDEX(Results!$B$2:$AA$226,MATCH(RankPoints!Z$4&amp;RankPoints!$B10,Results!$P$2:$P$226,0),24)),INDEX(Results!$B$2:$AA$226,MATCH(RankPoints!Z$4&amp;RankPoints!$B10,Results!$Q$2:$Q$226,0),25),INDEX(Results!$B$2:$AA$226,MATCH(RankPoints!Z$4&amp;RankPoints!$B10,Results!$P$2:$P$226,0),24))),Z10,IF(ISERROR(INDEX(Results!$B$2:$AA$226,MATCH(RankPoints!Z$4&amp;RankPoints!$B10,Results!$P$2:$P$226,0),24)),INDEX(Results!$B$2:$AA$226,MATCH(RankPoints!Z$4&amp;RankPoints!$B10,Results!$Q$2:$Q$226,0),25),INDEX(Results!$B$2:$AA$226,MATCH(RankPoints!Z$4&amp;RankPoints!$B10,Results!$P$2:$P$226,0),24)))</f>
        <v>1479</v>
      </c>
      <c r="AA11" s="50">
        <f>IF(ISERROR(IF(ISERROR(INDEX(Results!$B$2:$AA$226,MATCH(RankPoints!AA$4&amp;RankPoints!$B10,Results!$P$2:$P$226,0),24)),INDEX(Results!$B$2:$AA$226,MATCH(RankPoints!AA$4&amp;RankPoints!$B10,Results!$Q$2:$Q$226,0),25),INDEX(Results!$B$2:$AA$226,MATCH(RankPoints!AA$4&amp;RankPoints!$B10,Results!$P$2:$P$226,0),24))),AA10,IF(ISERROR(INDEX(Results!$B$2:$AA$226,MATCH(RankPoints!AA$4&amp;RankPoints!$B10,Results!$P$2:$P$226,0),24)),INDEX(Results!$B$2:$AA$226,MATCH(RankPoints!AA$4&amp;RankPoints!$B10,Results!$Q$2:$Q$226,0),25),INDEX(Results!$B$2:$AA$226,MATCH(RankPoints!AA$4&amp;RankPoints!$B10,Results!$P$2:$P$226,0),24)))</f>
        <v>1500</v>
      </c>
      <c r="AB11" s="106">
        <f>IF(ISERROR(IF(ISERROR(INDEX(Results!$B$2:$AA$226,MATCH(RankPoints!AB$4&amp;RankPoints!$B10,Results!$P$2:$P$226,0),24)),INDEX(Results!$B$2:$AA$226,MATCH(RankPoints!AB$4&amp;RankPoints!$B10,Results!$Q$2:$Q$226,0),25),INDEX(Results!$B$2:$AA$226,MATCH(RankPoints!AB$4&amp;RankPoints!$B10,Results!$P$2:$P$226,0),24))),AB10,IF(ISERROR(INDEX(Results!$B$2:$AA$226,MATCH(RankPoints!AB$4&amp;RankPoints!$B10,Results!$P$2:$P$226,0),24)),INDEX(Results!$B$2:$AA$226,MATCH(RankPoints!AB$4&amp;RankPoints!$B10,Results!$Q$2:$Q$226,0),25),INDEX(Results!$B$2:$AA$226,MATCH(RankPoints!AB$4&amp;RankPoints!$B10,Results!$P$2:$P$226,0),24)))</f>
        <v>119</v>
      </c>
      <c r="AC11" s="50">
        <f>IF(ISERROR(IF(ISERROR(INDEX(Results!$B$2:$AA$226,MATCH(RankPoints!AC$4&amp;RankPoints!$B10,Results!$P$2:$P$226,0),24)),INDEX(Results!$B$2:$AA$226,MATCH(RankPoints!AC$4&amp;RankPoints!$B10,Results!$Q$2:$Q$226,0),25),INDEX(Results!$B$2:$AA$226,MATCH(RankPoints!AC$4&amp;RankPoints!$B10,Results!$P$2:$P$226,0),24))),AC10,IF(ISERROR(INDEX(Results!$B$2:$AA$226,MATCH(RankPoints!AC$4&amp;RankPoints!$B10,Results!$P$2:$P$226,0),24)),INDEX(Results!$B$2:$AA$226,MATCH(RankPoints!AC$4&amp;RankPoints!$B10,Results!$Q$2:$Q$226,0),25),INDEX(Results!$B$2:$AA$226,MATCH(RankPoints!AC$4&amp;RankPoints!$B10,Results!$P$2:$P$226,0),24)))</f>
        <v>1500</v>
      </c>
      <c r="AD11" s="107">
        <f>IF(ISERROR(IF(ISERROR(INDEX(Results!$B$2:$AA$226,MATCH(RankPoints!AD$4&amp;RankPoints!$B10,Results!$P$2:$P$226,0),24)),INDEX(Results!$B$2:$AA$226,MATCH(RankPoints!AD$4&amp;RankPoints!$B10,Results!$Q$2:$Q$226,0),25),INDEX(Results!$B$2:$AA$226,MATCH(RankPoints!AD$4&amp;RankPoints!$B10,Results!$P$2:$P$226,0),24))),AD10,IF(ISERROR(INDEX(Results!$B$2:$AA$226,MATCH(RankPoints!AD$4&amp;RankPoints!$B10,Results!$P$2:$P$226,0),24)),INDEX(Results!$B$2:$AA$226,MATCH(RankPoints!AD$4&amp;RankPoints!$B10,Results!$Q$2:$Q$226,0),25),INDEX(Results!$B$2:$AA$226,MATCH(RankPoints!AD$4&amp;RankPoints!$B10,Results!$P$2:$P$226,0),24)))</f>
        <v>-13</v>
      </c>
      <c r="AE11" s="106">
        <f>IF(ISERROR(IF(ISERROR(INDEX(Results!$B$2:$AA$226,MATCH(RankPoints!AE$4&amp;RankPoints!$B10,Results!$P$2:$P$226,0),24)),INDEX(Results!$B$2:$AA$226,MATCH(RankPoints!AE$4&amp;RankPoints!$B10,Results!$Q$2:$Q$226,0),25),INDEX(Results!$B$2:$AA$226,MATCH(RankPoints!AE$4&amp;RankPoints!$B10,Results!$P$2:$P$226,0),24))),AE10,IF(ISERROR(INDEX(Results!$B$2:$AA$226,MATCH(RankPoints!AE$4&amp;RankPoints!$B10,Results!$P$2:$P$226,0),24)),INDEX(Results!$B$2:$AA$226,MATCH(RankPoints!AE$4&amp;RankPoints!$B10,Results!$Q$2:$Q$226,0),25),INDEX(Results!$B$2:$AA$226,MATCH(RankPoints!AE$4&amp;RankPoints!$B10,Results!$P$2:$P$226,0),24)))</f>
        <v>351</v>
      </c>
      <c r="AF11" s="106">
        <f>IF(ISERROR(IF(ISERROR(INDEX(Results!$B$2:$AA$226,MATCH(RankPoints!AF$4&amp;RankPoints!$B10,Results!$P$2:$P$226,0),24)),INDEX(Results!$B$2:$AA$226,MATCH(RankPoints!AF$4&amp;RankPoints!$B10,Results!$Q$2:$Q$226,0),25),INDEX(Results!$B$2:$AA$226,MATCH(RankPoints!AF$4&amp;RankPoints!$B10,Results!$P$2:$P$226,0),24))),AF10,IF(ISERROR(INDEX(Results!$B$2:$AA$226,MATCH(RankPoints!AF$4&amp;RankPoints!$B10,Results!$P$2:$P$226,0),24)),INDEX(Results!$B$2:$AA$226,MATCH(RankPoints!AF$4&amp;RankPoints!$B10,Results!$Q$2:$Q$226,0),25),INDEX(Results!$B$2:$AA$226,MATCH(RankPoints!AF$4&amp;RankPoints!$B10,Results!$P$2:$P$226,0),24)))</f>
        <v>1411</v>
      </c>
      <c r="AG11" s="50">
        <f>IF(ISERROR(IF(ISERROR(INDEX(Results!$B$2:$AA$226,MATCH(RankPoints!AG$4&amp;RankPoints!$B10,Results!$P$2:$P$226,0),24)),INDEX(Results!$B$2:$AA$226,MATCH(RankPoints!AG$4&amp;RankPoints!$B10,Results!$Q$2:$Q$226,0),25),INDEX(Results!$B$2:$AA$226,MATCH(RankPoints!AG$4&amp;RankPoints!$B10,Results!$P$2:$P$226,0),24))),AG10,IF(ISERROR(INDEX(Results!$B$2:$AA$226,MATCH(RankPoints!AG$4&amp;RankPoints!$B10,Results!$P$2:$P$226,0),24)),INDEX(Results!$B$2:$AA$226,MATCH(RankPoints!AG$4&amp;RankPoints!$B10,Results!$Q$2:$Q$226,0),25),INDEX(Results!$B$2:$AA$226,MATCH(RankPoints!AG$4&amp;RankPoints!$B10,Results!$P$2:$P$226,0),24)))</f>
        <v>1125</v>
      </c>
      <c r="AH11" s="50">
        <f>IF(ISERROR(IF(ISERROR(INDEX(Results!$B$2:$AA$226,MATCH(RankPoints!AH$4&amp;RankPoints!$B10,Results!$P$2:$P$226,0),24)),INDEX(Results!$B$2:$AA$226,MATCH(RankPoints!AH$4&amp;RankPoints!$B10,Results!$Q$2:$Q$226,0),25),INDEX(Results!$B$2:$AA$226,MATCH(RankPoints!AH$4&amp;RankPoints!$B10,Results!$P$2:$P$226,0),24))),AH10,IF(ISERROR(INDEX(Results!$B$2:$AA$226,MATCH(RankPoints!AH$4&amp;RankPoints!$B10,Results!$P$2:$P$226,0),24)),INDEX(Results!$B$2:$AA$226,MATCH(RankPoints!AH$4&amp;RankPoints!$B10,Results!$Q$2:$Q$226,0),25),INDEX(Results!$B$2:$AA$226,MATCH(RankPoints!AH$4&amp;RankPoints!$B10,Results!$P$2:$P$226,0),24)))</f>
        <v>1500</v>
      </c>
      <c r="AI11" s="50">
        <f>IF(ISERROR(IF(ISERROR(INDEX(Results!$B$2:$AA$226,MATCH(RankPoints!AI$4&amp;RankPoints!$B10,Results!$P$2:$P$226,0),24)),INDEX(Results!$B$2:$AA$226,MATCH(RankPoints!AI$4&amp;RankPoints!$B10,Results!$Q$2:$Q$226,0),25),INDEX(Results!$B$2:$AA$226,MATCH(RankPoints!AI$4&amp;RankPoints!$B10,Results!$P$2:$P$226,0),24))),AI10,IF(ISERROR(INDEX(Results!$B$2:$AA$226,MATCH(RankPoints!AI$4&amp;RankPoints!$B10,Results!$P$2:$P$226,0),24)),INDEX(Results!$B$2:$AA$226,MATCH(RankPoints!AI$4&amp;RankPoints!$B10,Results!$Q$2:$Q$226,0),25),INDEX(Results!$B$2:$AA$226,MATCH(RankPoints!AI$4&amp;RankPoints!$B10,Results!$P$2:$P$226,0),24)))</f>
        <v>1500</v>
      </c>
      <c r="AJ11" s="106">
        <f>IF(ISERROR(IF(ISERROR(INDEX(Results!$B$2:$AA$226,MATCH(RankPoints!AJ$4&amp;RankPoints!$B10,Results!$P$2:$P$226,0),24)),INDEX(Results!$B$2:$AA$226,MATCH(RankPoints!AJ$4&amp;RankPoints!$B10,Results!$Q$2:$Q$226,0),25),INDEX(Results!$B$2:$AA$226,MATCH(RankPoints!AJ$4&amp;RankPoints!$B10,Results!$P$2:$P$226,0),24))),AJ10,IF(ISERROR(INDEX(Results!$B$2:$AA$226,MATCH(RankPoints!AJ$4&amp;RankPoints!$B10,Results!$P$2:$P$226,0),24)),INDEX(Results!$B$2:$AA$226,MATCH(RankPoints!AJ$4&amp;RankPoints!$B10,Results!$Q$2:$Q$226,0),25),INDEX(Results!$B$2:$AA$226,MATCH(RankPoints!AJ$4&amp;RankPoints!$B10,Results!$P$2:$P$226,0),24)))</f>
        <v>1493</v>
      </c>
      <c r="AK11" s="107">
        <f>IF(ISERROR(IF(ISERROR(INDEX(Results!$B$2:$AA$226,MATCH(RankPoints!AK$4&amp;RankPoints!$B10,Results!$P$2:$P$226,0),24)),INDEX(Results!$B$2:$AA$226,MATCH(RankPoints!AK$4&amp;RankPoints!$B10,Results!$Q$2:$Q$226,0),25),INDEX(Results!$B$2:$AA$226,MATCH(RankPoints!AK$4&amp;RankPoints!$B10,Results!$P$2:$P$226,0),24))),AK10,IF(ISERROR(INDEX(Results!$B$2:$AA$226,MATCH(RankPoints!AK$4&amp;RankPoints!$B10,Results!$P$2:$P$226,0),24)),INDEX(Results!$B$2:$AA$226,MATCH(RankPoints!AK$4&amp;RankPoints!$B10,Results!$Q$2:$Q$226,0),25),INDEX(Results!$B$2:$AA$226,MATCH(RankPoints!AK$4&amp;RankPoints!$B10,Results!$P$2:$P$226,0),24)))</f>
        <v>326</v>
      </c>
    </row>
    <row r="12" spans="2:37" ht="12.75">
      <c r="B12" s="114">
        <f t="shared" si="0"/>
        <v>8</v>
      </c>
      <c r="C12" s="104">
        <f>IF(ISERROR(IF(ISERROR(INDEX(Results!$B$2:$AA$226,MATCH(RankPoints!C$4&amp;RankPoints!$B11,Results!$P$2:$P$226,0),24)),INDEX(Results!$B$2:$AA$226,MATCH(RankPoints!C$4&amp;RankPoints!$B11,Results!$Q$2:$Q$226,0),25),INDEX(Results!$B$2:$AA$226,MATCH(RankPoints!C$4&amp;RankPoints!$B11,Results!$P$2:$P$226,0),24))),C11,IF(ISERROR(INDEX(Results!$B$2:$AA$226,MATCH(RankPoints!C$4&amp;RankPoints!$B11,Results!$P$2:$P$226,0),24)),INDEX(Results!$B$2:$AA$226,MATCH(RankPoints!C$4&amp;RankPoints!$B11,Results!$Q$2:$Q$226,0),25),INDEX(Results!$B$2:$AA$226,MATCH(RankPoints!C$4&amp;RankPoints!$B11,Results!$P$2:$P$226,0),24)))</f>
        <v>1500</v>
      </c>
      <c r="D12" s="106">
        <f>IF(ISERROR(IF(ISERROR(INDEX(Results!$B$2:$AA$226,MATCH(RankPoints!D$4&amp;RankPoints!$B11,Results!$P$2:$P$226,0),24)),INDEX(Results!$B$2:$AA$226,MATCH(RankPoints!D$4&amp;RankPoints!$B11,Results!$Q$2:$Q$226,0),25),INDEX(Results!$B$2:$AA$226,MATCH(RankPoints!D$4&amp;RankPoints!$B11,Results!$P$2:$P$226,0),24))),D11,IF(ISERROR(INDEX(Results!$B$2:$AA$226,MATCH(RankPoints!D$4&amp;RankPoints!$B11,Results!$P$2:$P$226,0),24)),INDEX(Results!$B$2:$AA$226,MATCH(RankPoints!D$4&amp;RankPoints!$B11,Results!$Q$2:$Q$226,0),25),INDEX(Results!$B$2:$AA$226,MATCH(RankPoints!D$4&amp;RankPoints!$B11,Results!$P$2:$P$226,0),24)))</f>
        <v>1516</v>
      </c>
      <c r="E12" s="106">
        <f>IF(ISERROR(IF(ISERROR(INDEX(Results!$B$2:$AA$226,MATCH(RankPoints!E$4&amp;RankPoints!$B11,Results!$P$2:$P$226,0),24)),INDEX(Results!$B$2:$AA$226,MATCH(RankPoints!E$4&amp;RankPoints!$B11,Results!$Q$2:$Q$226,0),25),INDEX(Results!$B$2:$AA$226,MATCH(RankPoints!E$4&amp;RankPoints!$B11,Results!$P$2:$P$226,0),24))),E11,IF(ISERROR(INDEX(Results!$B$2:$AA$226,MATCH(RankPoints!E$4&amp;RankPoints!$B11,Results!$P$2:$P$226,0),24)),INDEX(Results!$B$2:$AA$226,MATCH(RankPoints!E$4&amp;RankPoints!$B11,Results!$Q$2:$Q$226,0),25),INDEX(Results!$B$2:$AA$226,MATCH(RankPoints!E$4&amp;RankPoints!$B11,Results!$P$2:$P$226,0),24)))</f>
        <v>1731</v>
      </c>
      <c r="F12" s="50">
        <f>IF(ISERROR(IF(ISERROR(INDEX(Results!$B$2:$AA$226,MATCH(RankPoints!F$4&amp;RankPoints!$B11,Results!$P$2:$P$226,0),24)),INDEX(Results!$B$2:$AA$226,MATCH(RankPoints!F$4&amp;RankPoints!$B11,Results!$Q$2:$Q$226,0),25),INDEX(Results!$B$2:$AA$226,MATCH(RankPoints!F$4&amp;RankPoints!$B11,Results!$P$2:$P$226,0),24))),F11,IF(ISERROR(INDEX(Results!$B$2:$AA$226,MATCH(RankPoints!F$4&amp;RankPoints!$B11,Results!$P$2:$P$226,0),24)),INDEX(Results!$B$2:$AA$226,MATCH(RankPoints!F$4&amp;RankPoints!$B11,Results!$Q$2:$Q$226,0),25),INDEX(Results!$B$2:$AA$226,MATCH(RankPoints!F$4&amp;RankPoints!$B11,Results!$P$2:$P$226,0),24)))</f>
        <v>1500</v>
      </c>
      <c r="G12" s="50">
        <f>IF(ISERROR(IF(ISERROR(INDEX(Results!$B$2:$AA$226,MATCH(RankPoints!G$4&amp;RankPoints!$B11,Results!$P$2:$P$226,0),24)),INDEX(Results!$B$2:$AA$226,MATCH(RankPoints!G$4&amp;RankPoints!$B11,Results!$Q$2:$Q$226,0),25),INDEX(Results!$B$2:$AA$226,MATCH(RankPoints!G$4&amp;RankPoints!$B11,Results!$P$2:$P$226,0),24))),G11,IF(ISERROR(INDEX(Results!$B$2:$AA$226,MATCH(RankPoints!G$4&amp;RankPoints!$B11,Results!$P$2:$P$226,0),24)),INDEX(Results!$B$2:$AA$226,MATCH(RankPoints!G$4&amp;RankPoints!$B11,Results!$Q$2:$Q$226,0),25),INDEX(Results!$B$2:$AA$226,MATCH(RankPoints!G$4&amp;RankPoints!$B11,Results!$P$2:$P$226,0),24)))</f>
        <v>1651</v>
      </c>
      <c r="H12" s="50">
        <f>IF(ISERROR(IF(ISERROR(INDEX(Results!$B$2:$AA$226,MATCH(RankPoints!H$4&amp;RankPoints!$B11,Results!$P$2:$P$226,0),24)),INDEX(Results!$B$2:$AA$226,MATCH(RankPoints!H$4&amp;RankPoints!$B11,Results!$Q$2:$Q$226,0),25),INDEX(Results!$B$2:$AA$226,MATCH(RankPoints!H$4&amp;RankPoints!$B11,Results!$P$2:$P$226,0),24))),H11,IF(ISERROR(INDEX(Results!$B$2:$AA$226,MATCH(RankPoints!H$4&amp;RankPoints!$B11,Results!$P$2:$P$226,0),24)),INDEX(Results!$B$2:$AA$226,MATCH(RankPoints!H$4&amp;RankPoints!$B11,Results!$Q$2:$Q$226,0),25),INDEX(Results!$B$2:$AA$226,MATCH(RankPoints!H$4&amp;RankPoints!$B11,Results!$P$2:$P$226,0),24)))</f>
        <v>0</v>
      </c>
      <c r="I12" s="105">
        <f>IF(ISERROR(IF(ISERROR(INDEX(Results!$B$2:$AA$226,MATCH(RankPoints!I$4&amp;RankPoints!$B11,Results!$P$2:$P$226,0),24)),INDEX(Results!$B$2:$AA$226,MATCH(RankPoints!I$4&amp;RankPoints!$B11,Results!$Q$2:$Q$226,0),25),INDEX(Results!$B$2:$AA$226,MATCH(RankPoints!I$4&amp;RankPoints!$B11,Results!$P$2:$P$226,0),24))),I11,IF(ISERROR(INDEX(Results!$B$2:$AA$226,MATCH(RankPoints!I$4&amp;RankPoints!$B11,Results!$P$2:$P$226,0),24)),INDEX(Results!$B$2:$AA$226,MATCH(RankPoints!I$4&amp;RankPoints!$B11,Results!$Q$2:$Q$226,0),25),INDEX(Results!$B$2:$AA$226,MATCH(RankPoints!I$4&amp;RankPoints!$B11,Results!$P$2:$P$226,0),24)))</f>
        <v>1500</v>
      </c>
      <c r="J12" s="106">
        <f>IF(ISERROR(IF(ISERROR(INDEX(Results!$B$2:$AA$226,MATCH(RankPoints!J$4&amp;RankPoints!$B11,Results!$P$2:$P$226,0),24)),INDEX(Results!$B$2:$AA$226,MATCH(RankPoints!J$4&amp;RankPoints!$B11,Results!$Q$2:$Q$226,0),25),INDEX(Results!$B$2:$AA$226,MATCH(RankPoints!J$4&amp;RankPoints!$B11,Results!$P$2:$P$226,0),24))),J11,IF(ISERROR(INDEX(Results!$B$2:$AA$226,MATCH(RankPoints!J$4&amp;RankPoints!$B11,Results!$P$2:$P$226,0),24)),INDEX(Results!$B$2:$AA$226,MATCH(RankPoints!J$4&amp;RankPoints!$B11,Results!$Q$2:$Q$226,0),25),INDEX(Results!$B$2:$AA$226,MATCH(RankPoints!J$4&amp;RankPoints!$B11,Results!$P$2:$P$226,0),24)))</f>
        <v>-1255</v>
      </c>
      <c r="K12" s="50">
        <f>IF(ISERROR(IF(ISERROR(INDEX(Results!$B$2:$AA$226,MATCH(RankPoints!K$4&amp;RankPoints!$B11,Results!$P$2:$P$226,0),24)),INDEX(Results!$B$2:$AA$226,MATCH(RankPoints!K$4&amp;RankPoints!$B11,Results!$Q$2:$Q$226,0),25),INDEX(Results!$B$2:$AA$226,MATCH(RankPoints!K$4&amp;RankPoints!$B11,Results!$P$2:$P$226,0),24))),K11,IF(ISERROR(INDEX(Results!$B$2:$AA$226,MATCH(RankPoints!K$4&amp;RankPoints!$B11,Results!$P$2:$P$226,0),24)),INDEX(Results!$B$2:$AA$226,MATCH(RankPoints!K$4&amp;RankPoints!$B11,Results!$Q$2:$Q$226,0),25),INDEX(Results!$B$2:$AA$226,MATCH(RankPoints!K$4&amp;RankPoints!$B11,Results!$P$2:$P$226,0),24)))</f>
        <v>1500</v>
      </c>
      <c r="L12" s="50">
        <f>IF(ISERROR(IF(ISERROR(INDEX(Results!$B$2:$AA$226,MATCH(RankPoints!L$4&amp;RankPoints!$B11,Results!$P$2:$P$226,0),24)),INDEX(Results!$B$2:$AA$226,MATCH(RankPoints!L$4&amp;RankPoints!$B11,Results!$Q$2:$Q$226,0),25),INDEX(Results!$B$2:$AA$226,MATCH(RankPoints!L$4&amp;RankPoints!$B11,Results!$P$2:$P$226,0),24))),L11,IF(ISERROR(INDEX(Results!$B$2:$AA$226,MATCH(RankPoints!L$4&amp;RankPoints!$B11,Results!$P$2:$P$226,0),24)),INDEX(Results!$B$2:$AA$226,MATCH(RankPoints!L$4&amp;RankPoints!$B11,Results!$Q$2:$Q$226,0),25),INDEX(Results!$B$2:$AA$226,MATCH(RankPoints!L$4&amp;RankPoints!$B11,Results!$P$2:$P$226,0),24)))</f>
        <v>1500</v>
      </c>
      <c r="M12" s="106">
        <f>IF(ISERROR(IF(ISERROR(INDEX(Results!$B$2:$AA$226,MATCH(RankPoints!M$4&amp;RankPoints!$B11,Results!$P$2:$P$226,0),24)),INDEX(Results!$B$2:$AA$226,MATCH(RankPoints!M$4&amp;RankPoints!$B11,Results!$Q$2:$Q$226,0),25),INDEX(Results!$B$2:$AA$226,MATCH(RankPoints!M$4&amp;RankPoints!$B11,Results!$P$2:$P$226,0),24))),M11,IF(ISERROR(INDEX(Results!$B$2:$AA$226,MATCH(RankPoints!M$4&amp;RankPoints!$B11,Results!$P$2:$P$226,0),24)),INDEX(Results!$B$2:$AA$226,MATCH(RankPoints!M$4&amp;RankPoints!$B11,Results!$Q$2:$Q$226,0),25),INDEX(Results!$B$2:$AA$226,MATCH(RankPoints!M$4&amp;RankPoints!$B11,Results!$P$2:$P$226,0),24)))</f>
        <v>1380</v>
      </c>
      <c r="N12" s="106">
        <f>IF(ISERROR(IF(ISERROR(INDEX(Results!$B$2:$AA$226,MATCH(RankPoints!N$4&amp;RankPoints!$B11,Results!$P$2:$P$226,0),24)),INDEX(Results!$B$2:$AA$226,MATCH(RankPoints!N$4&amp;RankPoints!$B11,Results!$Q$2:$Q$226,0),25),INDEX(Results!$B$2:$AA$226,MATCH(RankPoints!N$4&amp;RankPoints!$B11,Results!$P$2:$P$226,0),24))),N11,IF(ISERROR(INDEX(Results!$B$2:$AA$226,MATCH(RankPoints!N$4&amp;RankPoints!$B11,Results!$P$2:$P$226,0),24)),INDEX(Results!$B$2:$AA$226,MATCH(RankPoints!N$4&amp;RankPoints!$B11,Results!$Q$2:$Q$226,0),25),INDEX(Results!$B$2:$AA$226,MATCH(RankPoints!N$4&amp;RankPoints!$B11,Results!$P$2:$P$226,0),24)))</f>
        <v>2850</v>
      </c>
      <c r="O12" s="50">
        <f>IF(ISERROR(IF(ISERROR(INDEX(Results!$B$2:$AA$226,MATCH(RankPoints!O$4&amp;RankPoints!$B11,Results!$P$2:$P$226,0),24)),INDEX(Results!$B$2:$AA$226,MATCH(RankPoints!O$4&amp;RankPoints!$B11,Results!$Q$2:$Q$226,0),25),INDEX(Results!$B$2:$AA$226,MATCH(RankPoints!O$4&amp;RankPoints!$B11,Results!$P$2:$P$226,0),24))),O11,IF(ISERROR(INDEX(Results!$B$2:$AA$226,MATCH(RankPoints!O$4&amp;RankPoints!$B11,Results!$P$2:$P$226,0),24)),INDEX(Results!$B$2:$AA$226,MATCH(RankPoints!O$4&amp;RankPoints!$B11,Results!$Q$2:$Q$226,0),25),INDEX(Results!$B$2:$AA$226,MATCH(RankPoints!O$4&amp;RankPoints!$B11,Results!$P$2:$P$226,0),24)))</f>
        <v>1500</v>
      </c>
      <c r="P12" s="105">
        <f>IF(ISERROR(IF(ISERROR(INDEX(Results!$B$2:$AA$226,MATCH(RankPoints!P$4&amp;RankPoints!$B11,Results!$P$2:$P$226,0),24)),INDEX(Results!$B$2:$AA$226,MATCH(RankPoints!P$4&amp;RankPoints!$B11,Results!$Q$2:$Q$226,0),25),INDEX(Results!$B$2:$AA$226,MATCH(RankPoints!P$4&amp;RankPoints!$B11,Results!$P$2:$P$226,0),24))),P11,IF(ISERROR(INDEX(Results!$B$2:$AA$226,MATCH(RankPoints!P$4&amp;RankPoints!$B11,Results!$P$2:$P$226,0),24)),INDEX(Results!$B$2:$AA$226,MATCH(RankPoints!P$4&amp;RankPoints!$B11,Results!$Q$2:$Q$226,0),25),INDEX(Results!$B$2:$AA$226,MATCH(RankPoints!P$4&amp;RankPoints!$B11,Results!$P$2:$P$226,0),24)))</f>
        <v>1500</v>
      </c>
      <c r="Q12" s="50">
        <f>IF(ISERROR(IF(ISERROR(INDEX(Results!$B$2:$AA$226,MATCH(RankPoints!Q$4&amp;RankPoints!$B11,Results!$P$2:$P$226,0),24)),INDEX(Results!$B$2:$AA$226,MATCH(RankPoints!Q$4&amp;RankPoints!$B11,Results!$Q$2:$Q$226,0),25),INDEX(Results!$B$2:$AA$226,MATCH(RankPoints!Q$4&amp;RankPoints!$B11,Results!$P$2:$P$226,0),24))),Q11,IF(ISERROR(INDEX(Results!$B$2:$AA$226,MATCH(RankPoints!Q$4&amp;RankPoints!$B11,Results!$P$2:$P$226,0),24)),INDEX(Results!$B$2:$AA$226,MATCH(RankPoints!Q$4&amp;RankPoints!$B11,Results!$Q$2:$Q$226,0),25),INDEX(Results!$B$2:$AA$226,MATCH(RankPoints!Q$4&amp;RankPoints!$B11,Results!$P$2:$P$226,0),24)))</f>
        <v>1500</v>
      </c>
      <c r="R12" s="50">
        <f>IF(ISERROR(IF(ISERROR(INDEX(Results!$B$2:$AA$226,MATCH(RankPoints!R$4&amp;RankPoints!$B11,Results!$P$2:$P$226,0),24)),INDEX(Results!$B$2:$AA$226,MATCH(RankPoints!R$4&amp;RankPoints!$B11,Results!$Q$2:$Q$226,0),25),INDEX(Results!$B$2:$AA$226,MATCH(RankPoints!R$4&amp;RankPoints!$B11,Results!$P$2:$P$226,0),24))),R11,IF(ISERROR(INDEX(Results!$B$2:$AA$226,MATCH(RankPoints!R$4&amp;RankPoints!$B11,Results!$P$2:$P$226,0),24)),INDEX(Results!$B$2:$AA$226,MATCH(RankPoints!R$4&amp;RankPoints!$B11,Results!$Q$2:$Q$226,0),25),INDEX(Results!$B$2:$AA$226,MATCH(RankPoints!R$4&amp;RankPoints!$B11,Results!$P$2:$P$226,0),24)))</f>
        <v>1500</v>
      </c>
      <c r="S12" s="50">
        <f>IF(ISERROR(IF(ISERROR(INDEX(Results!$B$2:$AA$226,MATCH(RankPoints!S$4&amp;RankPoints!$B11,Results!$P$2:$P$226,0),24)),INDEX(Results!$B$2:$AA$226,MATCH(RankPoints!S$4&amp;RankPoints!$B11,Results!$Q$2:$Q$226,0),25),INDEX(Results!$B$2:$AA$226,MATCH(RankPoints!S$4&amp;RankPoints!$B11,Results!$P$2:$P$226,0),24))),S11,IF(ISERROR(INDEX(Results!$B$2:$AA$226,MATCH(RankPoints!S$4&amp;RankPoints!$B11,Results!$P$2:$P$226,0),24)),INDEX(Results!$B$2:$AA$226,MATCH(RankPoints!S$4&amp;RankPoints!$B11,Results!$Q$2:$Q$226,0),25),INDEX(Results!$B$2:$AA$226,MATCH(RankPoints!S$4&amp;RankPoints!$B11,Results!$P$2:$P$226,0),24)))</f>
        <v>1516</v>
      </c>
      <c r="T12" s="50">
        <f>IF(ISERROR(IF(ISERROR(INDEX(Results!$B$2:$AA$226,MATCH(RankPoints!T$4&amp;RankPoints!$B11,Results!$P$2:$P$226,0),24)),INDEX(Results!$B$2:$AA$226,MATCH(RankPoints!T$4&amp;RankPoints!$B11,Results!$Q$2:$Q$226,0),25),INDEX(Results!$B$2:$AA$226,MATCH(RankPoints!T$4&amp;RankPoints!$B11,Results!$P$2:$P$226,0),24))),T11,IF(ISERROR(INDEX(Results!$B$2:$AA$226,MATCH(RankPoints!T$4&amp;RankPoints!$B11,Results!$P$2:$P$226,0),24)),INDEX(Results!$B$2:$AA$226,MATCH(RankPoints!T$4&amp;RankPoints!$B11,Results!$Q$2:$Q$226,0),25),INDEX(Results!$B$2:$AA$226,MATCH(RankPoints!T$4&amp;RankPoints!$B11,Results!$P$2:$P$226,0),24)))</f>
        <v>1500</v>
      </c>
      <c r="U12" s="50">
        <f>IF(ISERROR(IF(ISERROR(INDEX(Results!$B$2:$AA$226,MATCH(RankPoints!U$4&amp;RankPoints!$B11,Results!$P$2:$P$226,0),24)),INDEX(Results!$B$2:$AA$226,MATCH(RankPoints!U$4&amp;RankPoints!$B11,Results!$Q$2:$Q$226,0),25),INDEX(Results!$B$2:$AA$226,MATCH(RankPoints!U$4&amp;RankPoints!$B11,Results!$P$2:$P$226,0),24))),U11,IF(ISERROR(INDEX(Results!$B$2:$AA$226,MATCH(RankPoints!U$4&amp;RankPoints!$B11,Results!$P$2:$P$226,0),24)),INDEX(Results!$B$2:$AA$226,MATCH(RankPoints!U$4&amp;RankPoints!$B11,Results!$Q$2:$Q$226,0),25),INDEX(Results!$B$2:$AA$226,MATCH(RankPoints!U$4&amp;RankPoints!$B11,Results!$P$2:$P$226,0),24)))</f>
        <v>1500</v>
      </c>
      <c r="V12" s="50">
        <f>IF(ISERROR(IF(ISERROR(INDEX(Results!$B$2:$AA$226,MATCH(RankPoints!V$4&amp;RankPoints!$B11,Results!$P$2:$P$226,0),24)),INDEX(Results!$B$2:$AA$226,MATCH(RankPoints!V$4&amp;RankPoints!$B11,Results!$Q$2:$Q$226,0),25),INDEX(Results!$B$2:$AA$226,MATCH(RankPoints!V$4&amp;RankPoints!$B11,Results!$P$2:$P$226,0),24))),V11,IF(ISERROR(INDEX(Results!$B$2:$AA$226,MATCH(RankPoints!V$4&amp;RankPoints!$B11,Results!$P$2:$P$226,0),24)),INDEX(Results!$B$2:$AA$226,MATCH(RankPoints!V$4&amp;RankPoints!$B11,Results!$Q$2:$Q$226,0),25),INDEX(Results!$B$2:$AA$226,MATCH(RankPoints!V$4&amp;RankPoints!$B11,Results!$P$2:$P$226,0),24)))</f>
        <v>0</v>
      </c>
      <c r="W12" s="105">
        <f>IF(ISERROR(IF(ISERROR(INDEX(Results!$B$2:$AA$226,MATCH(RankPoints!W$4&amp;RankPoints!$B11,Results!$P$2:$P$226,0),24)),INDEX(Results!$B$2:$AA$226,MATCH(RankPoints!W$4&amp;RankPoints!$B11,Results!$Q$2:$Q$226,0),25),INDEX(Results!$B$2:$AA$226,MATCH(RankPoints!W$4&amp;RankPoints!$B11,Results!$P$2:$P$226,0),24))),W11,IF(ISERROR(INDEX(Results!$B$2:$AA$226,MATCH(RankPoints!W$4&amp;RankPoints!$B11,Results!$P$2:$P$226,0),24)),INDEX(Results!$B$2:$AA$226,MATCH(RankPoints!W$4&amp;RankPoints!$B11,Results!$Q$2:$Q$226,0),25),INDEX(Results!$B$2:$AA$226,MATCH(RankPoints!W$4&amp;RankPoints!$B11,Results!$P$2:$P$226,0),24)))</f>
        <v>1500</v>
      </c>
      <c r="X12" s="106">
        <f>IF(ISERROR(IF(ISERROR(INDEX(Results!$B$2:$AA$226,MATCH(RankPoints!X$4&amp;RankPoints!$B11,Results!$P$2:$P$226,0),24)),INDEX(Results!$B$2:$AA$226,MATCH(RankPoints!X$4&amp;RankPoints!$B11,Results!$Q$2:$Q$226,0),25),INDEX(Results!$B$2:$AA$226,MATCH(RankPoints!X$4&amp;RankPoints!$B11,Results!$P$2:$P$226,0),24))),X11,IF(ISERROR(INDEX(Results!$B$2:$AA$226,MATCH(RankPoints!X$4&amp;RankPoints!$B11,Results!$P$2:$P$226,0),24)),INDEX(Results!$B$2:$AA$226,MATCH(RankPoints!X$4&amp;RankPoints!$B11,Results!$Q$2:$Q$226,0),25),INDEX(Results!$B$2:$AA$226,MATCH(RankPoints!X$4&amp;RankPoints!$B11,Results!$P$2:$P$226,0),24)))</f>
        <v>3180</v>
      </c>
      <c r="Y12" s="50">
        <f>IF(ISERROR(IF(ISERROR(INDEX(Results!$B$2:$AA$226,MATCH(RankPoints!Y$4&amp;RankPoints!$B11,Results!$P$2:$P$226,0),24)),INDEX(Results!$B$2:$AA$226,MATCH(RankPoints!Y$4&amp;RankPoints!$B11,Results!$Q$2:$Q$226,0),25),INDEX(Results!$B$2:$AA$226,MATCH(RankPoints!Y$4&amp;RankPoints!$B11,Results!$P$2:$P$226,0),24))),Y11,IF(ISERROR(INDEX(Results!$B$2:$AA$226,MATCH(RankPoints!Y$4&amp;RankPoints!$B11,Results!$P$2:$P$226,0),24)),INDEX(Results!$B$2:$AA$226,MATCH(RankPoints!Y$4&amp;RankPoints!$B11,Results!$Q$2:$Q$226,0),25),INDEX(Results!$B$2:$AA$226,MATCH(RankPoints!Y$4&amp;RankPoints!$B11,Results!$P$2:$P$226,0),24)))</f>
        <v>-85</v>
      </c>
      <c r="Z12" s="50">
        <f>IF(ISERROR(IF(ISERROR(INDEX(Results!$B$2:$AA$226,MATCH(RankPoints!Z$4&amp;RankPoints!$B11,Results!$P$2:$P$226,0),24)),INDEX(Results!$B$2:$AA$226,MATCH(RankPoints!Z$4&amp;RankPoints!$B11,Results!$Q$2:$Q$226,0),25),INDEX(Results!$B$2:$AA$226,MATCH(RankPoints!Z$4&amp;RankPoints!$B11,Results!$P$2:$P$226,0),24))),Z11,IF(ISERROR(INDEX(Results!$B$2:$AA$226,MATCH(RankPoints!Z$4&amp;RankPoints!$B11,Results!$P$2:$P$226,0),24)),INDEX(Results!$B$2:$AA$226,MATCH(RankPoints!Z$4&amp;RankPoints!$B11,Results!$Q$2:$Q$226,0),25),INDEX(Results!$B$2:$AA$226,MATCH(RankPoints!Z$4&amp;RankPoints!$B11,Results!$P$2:$P$226,0),24)))</f>
        <v>1479</v>
      </c>
      <c r="AA12" s="50">
        <f>IF(ISERROR(IF(ISERROR(INDEX(Results!$B$2:$AA$226,MATCH(RankPoints!AA$4&amp;RankPoints!$B11,Results!$P$2:$P$226,0),24)),INDEX(Results!$B$2:$AA$226,MATCH(RankPoints!AA$4&amp;RankPoints!$B11,Results!$Q$2:$Q$226,0),25),INDEX(Results!$B$2:$AA$226,MATCH(RankPoints!AA$4&amp;RankPoints!$B11,Results!$P$2:$P$226,0),24))),AA11,IF(ISERROR(INDEX(Results!$B$2:$AA$226,MATCH(RankPoints!AA$4&amp;RankPoints!$B11,Results!$P$2:$P$226,0),24)),INDEX(Results!$B$2:$AA$226,MATCH(RankPoints!AA$4&amp;RankPoints!$B11,Results!$Q$2:$Q$226,0),25),INDEX(Results!$B$2:$AA$226,MATCH(RankPoints!AA$4&amp;RankPoints!$B11,Results!$P$2:$P$226,0),24)))</f>
        <v>1500</v>
      </c>
      <c r="AB12" s="106">
        <f>IF(ISERROR(IF(ISERROR(INDEX(Results!$B$2:$AA$226,MATCH(RankPoints!AB$4&amp;RankPoints!$B11,Results!$P$2:$P$226,0),24)),INDEX(Results!$B$2:$AA$226,MATCH(RankPoints!AB$4&amp;RankPoints!$B11,Results!$Q$2:$Q$226,0),25),INDEX(Results!$B$2:$AA$226,MATCH(RankPoints!AB$4&amp;RankPoints!$B11,Results!$P$2:$P$226,0),24))),AB11,IF(ISERROR(INDEX(Results!$B$2:$AA$226,MATCH(RankPoints!AB$4&amp;RankPoints!$B11,Results!$P$2:$P$226,0),24)),INDEX(Results!$B$2:$AA$226,MATCH(RankPoints!AB$4&amp;RankPoints!$B11,Results!$Q$2:$Q$226,0),25),INDEX(Results!$B$2:$AA$226,MATCH(RankPoints!AB$4&amp;RankPoints!$B11,Results!$P$2:$P$226,0),24)))</f>
        <v>-3093</v>
      </c>
      <c r="AC12" s="50">
        <f>IF(ISERROR(IF(ISERROR(INDEX(Results!$B$2:$AA$226,MATCH(RankPoints!AC$4&amp;RankPoints!$B11,Results!$P$2:$P$226,0),24)),INDEX(Results!$B$2:$AA$226,MATCH(RankPoints!AC$4&amp;RankPoints!$B11,Results!$Q$2:$Q$226,0),25),INDEX(Results!$B$2:$AA$226,MATCH(RankPoints!AC$4&amp;RankPoints!$B11,Results!$P$2:$P$226,0),24))),AC11,IF(ISERROR(INDEX(Results!$B$2:$AA$226,MATCH(RankPoints!AC$4&amp;RankPoints!$B11,Results!$P$2:$P$226,0),24)),INDEX(Results!$B$2:$AA$226,MATCH(RankPoints!AC$4&amp;RankPoints!$B11,Results!$Q$2:$Q$226,0),25),INDEX(Results!$B$2:$AA$226,MATCH(RankPoints!AC$4&amp;RankPoints!$B11,Results!$P$2:$P$226,0),24)))</f>
        <v>1500</v>
      </c>
      <c r="AD12" s="107">
        <f>IF(ISERROR(IF(ISERROR(INDEX(Results!$B$2:$AA$226,MATCH(RankPoints!AD$4&amp;RankPoints!$B11,Results!$P$2:$P$226,0),24)),INDEX(Results!$B$2:$AA$226,MATCH(RankPoints!AD$4&amp;RankPoints!$B11,Results!$Q$2:$Q$226,0),25),INDEX(Results!$B$2:$AA$226,MATCH(RankPoints!AD$4&amp;RankPoints!$B11,Results!$P$2:$P$226,0),24))),AD11,IF(ISERROR(INDEX(Results!$B$2:$AA$226,MATCH(RankPoints!AD$4&amp;RankPoints!$B11,Results!$P$2:$P$226,0),24)),INDEX(Results!$B$2:$AA$226,MATCH(RankPoints!AD$4&amp;RankPoints!$B11,Results!$Q$2:$Q$226,0),25),INDEX(Results!$B$2:$AA$226,MATCH(RankPoints!AD$4&amp;RankPoints!$B11,Results!$P$2:$P$226,0),24)))</f>
        <v>-13</v>
      </c>
      <c r="AE12" s="106">
        <f>IF(ISERROR(IF(ISERROR(INDEX(Results!$B$2:$AA$226,MATCH(RankPoints!AE$4&amp;RankPoints!$B11,Results!$P$2:$P$226,0),24)),INDEX(Results!$B$2:$AA$226,MATCH(RankPoints!AE$4&amp;RankPoints!$B11,Results!$Q$2:$Q$226,0),25),INDEX(Results!$B$2:$AA$226,MATCH(RankPoints!AE$4&amp;RankPoints!$B11,Results!$P$2:$P$226,0),24))),AE11,IF(ISERROR(INDEX(Results!$B$2:$AA$226,MATCH(RankPoints!AE$4&amp;RankPoints!$B11,Results!$P$2:$P$226,0),24)),INDEX(Results!$B$2:$AA$226,MATCH(RankPoints!AE$4&amp;RankPoints!$B11,Results!$Q$2:$Q$226,0),25),INDEX(Results!$B$2:$AA$226,MATCH(RankPoints!AE$4&amp;RankPoints!$B11,Results!$P$2:$P$226,0),24)))</f>
        <v>351</v>
      </c>
      <c r="AF12" s="106">
        <f>IF(ISERROR(IF(ISERROR(INDEX(Results!$B$2:$AA$226,MATCH(RankPoints!AF$4&amp;RankPoints!$B11,Results!$P$2:$P$226,0),24)),INDEX(Results!$B$2:$AA$226,MATCH(RankPoints!AF$4&amp;RankPoints!$B11,Results!$Q$2:$Q$226,0),25),INDEX(Results!$B$2:$AA$226,MATCH(RankPoints!AF$4&amp;RankPoints!$B11,Results!$P$2:$P$226,0),24))),AF11,IF(ISERROR(INDEX(Results!$B$2:$AA$226,MATCH(RankPoints!AF$4&amp;RankPoints!$B11,Results!$P$2:$P$226,0),24)),INDEX(Results!$B$2:$AA$226,MATCH(RankPoints!AF$4&amp;RankPoints!$B11,Results!$Q$2:$Q$226,0),25),INDEX(Results!$B$2:$AA$226,MATCH(RankPoints!AF$4&amp;RankPoints!$B11,Results!$P$2:$P$226,0),24)))</f>
        <v>1411</v>
      </c>
      <c r="AG12" s="50">
        <f>IF(ISERROR(IF(ISERROR(INDEX(Results!$B$2:$AA$226,MATCH(RankPoints!AG$4&amp;RankPoints!$B11,Results!$P$2:$P$226,0),24)),INDEX(Results!$B$2:$AA$226,MATCH(RankPoints!AG$4&amp;RankPoints!$B11,Results!$Q$2:$Q$226,0),25),INDEX(Results!$B$2:$AA$226,MATCH(RankPoints!AG$4&amp;RankPoints!$B11,Results!$P$2:$P$226,0),24))),AG11,IF(ISERROR(INDEX(Results!$B$2:$AA$226,MATCH(RankPoints!AG$4&amp;RankPoints!$B11,Results!$P$2:$P$226,0),24)),INDEX(Results!$B$2:$AA$226,MATCH(RankPoints!AG$4&amp;RankPoints!$B11,Results!$Q$2:$Q$226,0),25),INDEX(Results!$B$2:$AA$226,MATCH(RankPoints!AG$4&amp;RankPoints!$B11,Results!$P$2:$P$226,0),24)))</f>
        <v>1125</v>
      </c>
      <c r="AH12" s="50">
        <f>IF(ISERROR(IF(ISERROR(INDEX(Results!$B$2:$AA$226,MATCH(RankPoints!AH$4&amp;RankPoints!$B11,Results!$P$2:$P$226,0),24)),INDEX(Results!$B$2:$AA$226,MATCH(RankPoints!AH$4&amp;RankPoints!$B11,Results!$Q$2:$Q$226,0),25),INDEX(Results!$B$2:$AA$226,MATCH(RankPoints!AH$4&amp;RankPoints!$B11,Results!$P$2:$P$226,0),24))),AH11,IF(ISERROR(INDEX(Results!$B$2:$AA$226,MATCH(RankPoints!AH$4&amp;RankPoints!$B11,Results!$P$2:$P$226,0),24)),INDEX(Results!$B$2:$AA$226,MATCH(RankPoints!AH$4&amp;RankPoints!$B11,Results!$Q$2:$Q$226,0),25),INDEX(Results!$B$2:$AA$226,MATCH(RankPoints!AH$4&amp;RankPoints!$B11,Results!$P$2:$P$226,0),24)))</f>
        <v>1500</v>
      </c>
      <c r="AI12" s="50">
        <f>IF(ISERROR(IF(ISERROR(INDEX(Results!$B$2:$AA$226,MATCH(RankPoints!AI$4&amp;RankPoints!$B11,Results!$P$2:$P$226,0),24)),INDEX(Results!$B$2:$AA$226,MATCH(RankPoints!AI$4&amp;RankPoints!$B11,Results!$Q$2:$Q$226,0),25),INDEX(Results!$B$2:$AA$226,MATCH(RankPoints!AI$4&amp;RankPoints!$B11,Results!$P$2:$P$226,0),24))),AI11,IF(ISERROR(INDEX(Results!$B$2:$AA$226,MATCH(RankPoints!AI$4&amp;RankPoints!$B11,Results!$P$2:$P$226,0),24)),INDEX(Results!$B$2:$AA$226,MATCH(RankPoints!AI$4&amp;RankPoints!$B11,Results!$Q$2:$Q$226,0),25),INDEX(Results!$B$2:$AA$226,MATCH(RankPoints!AI$4&amp;RankPoints!$B11,Results!$P$2:$P$226,0),24)))</f>
        <v>1500</v>
      </c>
      <c r="AJ12" s="106">
        <f>IF(ISERROR(IF(ISERROR(INDEX(Results!$B$2:$AA$226,MATCH(RankPoints!AJ$4&amp;RankPoints!$B11,Results!$P$2:$P$226,0),24)),INDEX(Results!$B$2:$AA$226,MATCH(RankPoints!AJ$4&amp;RankPoints!$B11,Results!$Q$2:$Q$226,0),25),INDEX(Results!$B$2:$AA$226,MATCH(RankPoints!AJ$4&amp;RankPoints!$B11,Results!$P$2:$P$226,0),24))),AJ11,IF(ISERROR(INDEX(Results!$B$2:$AA$226,MATCH(RankPoints!AJ$4&amp;RankPoints!$B11,Results!$P$2:$P$226,0),24)),INDEX(Results!$B$2:$AA$226,MATCH(RankPoints!AJ$4&amp;RankPoints!$B11,Results!$Q$2:$Q$226,0),25),INDEX(Results!$B$2:$AA$226,MATCH(RankPoints!AJ$4&amp;RankPoints!$B11,Results!$P$2:$P$226,0),24)))</f>
        <v>1493</v>
      </c>
      <c r="AK12" s="107">
        <f>IF(ISERROR(IF(ISERROR(INDEX(Results!$B$2:$AA$226,MATCH(RankPoints!AK$4&amp;RankPoints!$B11,Results!$P$2:$P$226,0),24)),INDEX(Results!$B$2:$AA$226,MATCH(RankPoints!AK$4&amp;RankPoints!$B11,Results!$Q$2:$Q$226,0),25),INDEX(Results!$B$2:$AA$226,MATCH(RankPoints!AK$4&amp;RankPoints!$B11,Results!$P$2:$P$226,0),24))),AK11,IF(ISERROR(INDEX(Results!$B$2:$AA$226,MATCH(RankPoints!AK$4&amp;RankPoints!$B11,Results!$P$2:$P$226,0),24)),INDEX(Results!$B$2:$AA$226,MATCH(RankPoints!AK$4&amp;RankPoints!$B11,Results!$Q$2:$Q$226,0),25),INDEX(Results!$B$2:$AA$226,MATCH(RankPoints!AK$4&amp;RankPoints!$B11,Results!$P$2:$P$226,0),24)))</f>
        <v>326</v>
      </c>
    </row>
    <row r="13" spans="2:37" ht="12.75">
      <c r="B13" s="114">
        <f t="shared" si="0"/>
        <v>9</v>
      </c>
      <c r="C13" s="104">
        <f>IF(ISERROR(IF(ISERROR(INDEX(Results!$B$2:$AA$226,MATCH(RankPoints!C$4&amp;RankPoints!$B12,Results!$P$2:$P$226,0),24)),INDEX(Results!$B$2:$AA$226,MATCH(RankPoints!C$4&amp;RankPoints!$B12,Results!$Q$2:$Q$226,0),25),INDEX(Results!$B$2:$AA$226,MATCH(RankPoints!C$4&amp;RankPoints!$B12,Results!$P$2:$P$226,0),24))),C12,IF(ISERROR(INDEX(Results!$B$2:$AA$226,MATCH(RankPoints!C$4&amp;RankPoints!$B12,Results!$P$2:$P$226,0),24)),INDEX(Results!$B$2:$AA$226,MATCH(RankPoints!C$4&amp;RankPoints!$B12,Results!$Q$2:$Q$226,0),25),INDEX(Results!$B$2:$AA$226,MATCH(RankPoints!C$4&amp;RankPoints!$B12,Results!$P$2:$P$226,0),24)))</f>
        <v>1500</v>
      </c>
      <c r="D13" s="106">
        <f>IF(ISERROR(IF(ISERROR(INDEX(Results!$B$2:$AA$226,MATCH(RankPoints!D$4&amp;RankPoints!$B12,Results!$P$2:$P$226,0),24)),INDEX(Results!$B$2:$AA$226,MATCH(RankPoints!D$4&amp;RankPoints!$B12,Results!$Q$2:$Q$226,0),25),INDEX(Results!$B$2:$AA$226,MATCH(RankPoints!D$4&amp;RankPoints!$B12,Results!$P$2:$P$226,0),24))),D12,IF(ISERROR(INDEX(Results!$B$2:$AA$226,MATCH(RankPoints!D$4&amp;RankPoints!$B12,Results!$P$2:$P$226,0),24)),INDEX(Results!$B$2:$AA$226,MATCH(RankPoints!D$4&amp;RankPoints!$B12,Results!$Q$2:$Q$226,0),25),INDEX(Results!$B$2:$AA$226,MATCH(RankPoints!D$4&amp;RankPoints!$B12,Results!$P$2:$P$226,0),24)))</f>
        <v>1516</v>
      </c>
      <c r="E13" s="106">
        <f>IF(ISERROR(IF(ISERROR(INDEX(Results!$B$2:$AA$226,MATCH(RankPoints!E$4&amp;RankPoints!$B12,Results!$P$2:$P$226,0),24)),INDEX(Results!$B$2:$AA$226,MATCH(RankPoints!E$4&amp;RankPoints!$B12,Results!$Q$2:$Q$226,0),25),INDEX(Results!$B$2:$AA$226,MATCH(RankPoints!E$4&amp;RankPoints!$B12,Results!$P$2:$P$226,0),24))),E12,IF(ISERROR(INDEX(Results!$B$2:$AA$226,MATCH(RankPoints!E$4&amp;RankPoints!$B12,Results!$P$2:$P$226,0),24)),INDEX(Results!$B$2:$AA$226,MATCH(RankPoints!E$4&amp;RankPoints!$B12,Results!$Q$2:$Q$226,0),25),INDEX(Results!$B$2:$AA$226,MATCH(RankPoints!E$4&amp;RankPoints!$B12,Results!$P$2:$P$226,0),24)))</f>
        <v>1731</v>
      </c>
      <c r="F13" s="50">
        <f>IF(ISERROR(IF(ISERROR(INDEX(Results!$B$2:$AA$226,MATCH(RankPoints!F$4&amp;RankPoints!$B12,Results!$P$2:$P$226,0),24)),INDEX(Results!$B$2:$AA$226,MATCH(RankPoints!F$4&amp;RankPoints!$B12,Results!$Q$2:$Q$226,0),25),INDEX(Results!$B$2:$AA$226,MATCH(RankPoints!F$4&amp;RankPoints!$B12,Results!$P$2:$P$226,0),24))),F12,IF(ISERROR(INDEX(Results!$B$2:$AA$226,MATCH(RankPoints!F$4&amp;RankPoints!$B12,Results!$P$2:$P$226,0),24)),INDEX(Results!$B$2:$AA$226,MATCH(RankPoints!F$4&amp;RankPoints!$B12,Results!$Q$2:$Q$226,0),25),INDEX(Results!$B$2:$AA$226,MATCH(RankPoints!F$4&amp;RankPoints!$B12,Results!$P$2:$P$226,0),24)))</f>
        <v>1500</v>
      </c>
      <c r="G13" s="50">
        <f>IF(ISERROR(IF(ISERROR(INDEX(Results!$B$2:$AA$226,MATCH(RankPoints!G$4&amp;RankPoints!$B12,Results!$P$2:$P$226,0),24)),INDEX(Results!$B$2:$AA$226,MATCH(RankPoints!G$4&amp;RankPoints!$B12,Results!$Q$2:$Q$226,0),25),INDEX(Results!$B$2:$AA$226,MATCH(RankPoints!G$4&amp;RankPoints!$B12,Results!$P$2:$P$226,0),24))),G12,IF(ISERROR(INDEX(Results!$B$2:$AA$226,MATCH(RankPoints!G$4&amp;RankPoints!$B12,Results!$P$2:$P$226,0),24)),INDEX(Results!$B$2:$AA$226,MATCH(RankPoints!G$4&amp;RankPoints!$B12,Results!$Q$2:$Q$226,0),25),INDEX(Results!$B$2:$AA$226,MATCH(RankPoints!G$4&amp;RankPoints!$B12,Results!$P$2:$P$226,0),24)))</f>
        <v>0</v>
      </c>
      <c r="H13" s="50">
        <f>IF(ISERROR(IF(ISERROR(INDEX(Results!$B$2:$AA$226,MATCH(RankPoints!H$4&amp;RankPoints!$B12,Results!$P$2:$P$226,0),24)),INDEX(Results!$B$2:$AA$226,MATCH(RankPoints!H$4&amp;RankPoints!$B12,Results!$Q$2:$Q$226,0),25),INDEX(Results!$B$2:$AA$226,MATCH(RankPoints!H$4&amp;RankPoints!$B12,Results!$P$2:$P$226,0),24))),H12,IF(ISERROR(INDEX(Results!$B$2:$AA$226,MATCH(RankPoints!H$4&amp;RankPoints!$B12,Results!$P$2:$P$226,0),24)),INDEX(Results!$B$2:$AA$226,MATCH(RankPoints!H$4&amp;RankPoints!$B12,Results!$Q$2:$Q$226,0),25),INDEX(Results!$B$2:$AA$226,MATCH(RankPoints!H$4&amp;RankPoints!$B12,Results!$P$2:$P$226,0),24)))</f>
        <v>1651</v>
      </c>
      <c r="I13" s="105">
        <f>IF(ISERROR(IF(ISERROR(INDEX(Results!$B$2:$AA$226,MATCH(RankPoints!I$4&amp;RankPoints!$B12,Results!$P$2:$P$226,0),24)),INDEX(Results!$B$2:$AA$226,MATCH(RankPoints!I$4&amp;RankPoints!$B12,Results!$Q$2:$Q$226,0),25),INDEX(Results!$B$2:$AA$226,MATCH(RankPoints!I$4&amp;RankPoints!$B12,Results!$P$2:$P$226,0),24))),I12,IF(ISERROR(INDEX(Results!$B$2:$AA$226,MATCH(RankPoints!I$4&amp;RankPoints!$B12,Results!$P$2:$P$226,0),24)),INDEX(Results!$B$2:$AA$226,MATCH(RankPoints!I$4&amp;RankPoints!$B12,Results!$Q$2:$Q$226,0),25),INDEX(Results!$B$2:$AA$226,MATCH(RankPoints!I$4&amp;RankPoints!$B12,Results!$P$2:$P$226,0),24)))</f>
        <v>1500</v>
      </c>
      <c r="J13" s="106">
        <f>IF(ISERROR(IF(ISERROR(INDEX(Results!$B$2:$AA$226,MATCH(RankPoints!J$4&amp;RankPoints!$B12,Results!$P$2:$P$226,0),24)),INDEX(Results!$B$2:$AA$226,MATCH(RankPoints!J$4&amp;RankPoints!$B12,Results!$Q$2:$Q$226,0),25),INDEX(Results!$B$2:$AA$226,MATCH(RankPoints!J$4&amp;RankPoints!$B12,Results!$P$2:$P$226,0),24))),J12,IF(ISERROR(INDEX(Results!$B$2:$AA$226,MATCH(RankPoints!J$4&amp;RankPoints!$B12,Results!$P$2:$P$226,0),24)),INDEX(Results!$B$2:$AA$226,MATCH(RankPoints!J$4&amp;RankPoints!$B12,Results!$Q$2:$Q$226,0),25),INDEX(Results!$B$2:$AA$226,MATCH(RankPoints!J$4&amp;RankPoints!$B12,Results!$P$2:$P$226,0),24)))</f>
        <v>-1255</v>
      </c>
      <c r="K13" s="50">
        <f>IF(ISERROR(IF(ISERROR(INDEX(Results!$B$2:$AA$226,MATCH(RankPoints!K$4&amp;RankPoints!$B12,Results!$P$2:$P$226,0),24)),INDEX(Results!$B$2:$AA$226,MATCH(RankPoints!K$4&amp;RankPoints!$B12,Results!$Q$2:$Q$226,0),25),INDEX(Results!$B$2:$AA$226,MATCH(RankPoints!K$4&amp;RankPoints!$B12,Results!$P$2:$P$226,0),24))),K12,IF(ISERROR(INDEX(Results!$B$2:$AA$226,MATCH(RankPoints!K$4&amp;RankPoints!$B12,Results!$P$2:$P$226,0),24)),INDEX(Results!$B$2:$AA$226,MATCH(RankPoints!K$4&amp;RankPoints!$B12,Results!$Q$2:$Q$226,0),25),INDEX(Results!$B$2:$AA$226,MATCH(RankPoints!K$4&amp;RankPoints!$B12,Results!$P$2:$P$226,0),24)))</f>
        <v>1500</v>
      </c>
      <c r="L13" s="50">
        <f>IF(ISERROR(IF(ISERROR(INDEX(Results!$B$2:$AA$226,MATCH(RankPoints!L$4&amp;RankPoints!$B12,Results!$P$2:$P$226,0),24)),INDEX(Results!$B$2:$AA$226,MATCH(RankPoints!L$4&amp;RankPoints!$B12,Results!$Q$2:$Q$226,0),25),INDEX(Results!$B$2:$AA$226,MATCH(RankPoints!L$4&amp;RankPoints!$B12,Results!$P$2:$P$226,0),24))),L12,IF(ISERROR(INDEX(Results!$B$2:$AA$226,MATCH(RankPoints!L$4&amp;RankPoints!$B12,Results!$P$2:$P$226,0),24)),INDEX(Results!$B$2:$AA$226,MATCH(RankPoints!L$4&amp;RankPoints!$B12,Results!$Q$2:$Q$226,0),25),INDEX(Results!$B$2:$AA$226,MATCH(RankPoints!L$4&amp;RankPoints!$B12,Results!$P$2:$P$226,0),24)))</f>
        <v>1500</v>
      </c>
      <c r="M13" s="106">
        <f>IF(ISERROR(IF(ISERROR(INDEX(Results!$B$2:$AA$226,MATCH(RankPoints!M$4&amp;RankPoints!$B12,Results!$P$2:$P$226,0),24)),INDEX(Results!$B$2:$AA$226,MATCH(RankPoints!M$4&amp;RankPoints!$B12,Results!$Q$2:$Q$226,0),25),INDEX(Results!$B$2:$AA$226,MATCH(RankPoints!M$4&amp;RankPoints!$B12,Results!$P$2:$P$226,0),24))),M12,IF(ISERROR(INDEX(Results!$B$2:$AA$226,MATCH(RankPoints!M$4&amp;RankPoints!$B12,Results!$P$2:$P$226,0),24)),INDEX(Results!$B$2:$AA$226,MATCH(RankPoints!M$4&amp;RankPoints!$B12,Results!$Q$2:$Q$226,0),25),INDEX(Results!$B$2:$AA$226,MATCH(RankPoints!M$4&amp;RankPoints!$B12,Results!$P$2:$P$226,0),24)))</f>
        <v>1380</v>
      </c>
      <c r="N13" s="106">
        <f>IF(ISERROR(IF(ISERROR(INDEX(Results!$B$2:$AA$226,MATCH(RankPoints!N$4&amp;RankPoints!$B12,Results!$P$2:$P$226,0),24)),INDEX(Results!$B$2:$AA$226,MATCH(RankPoints!N$4&amp;RankPoints!$B12,Results!$Q$2:$Q$226,0),25),INDEX(Results!$B$2:$AA$226,MATCH(RankPoints!N$4&amp;RankPoints!$B12,Results!$P$2:$P$226,0),24))),N12,IF(ISERROR(INDEX(Results!$B$2:$AA$226,MATCH(RankPoints!N$4&amp;RankPoints!$B12,Results!$P$2:$P$226,0),24)),INDEX(Results!$B$2:$AA$226,MATCH(RankPoints!N$4&amp;RankPoints!$B12,Results!$Q$2:$Q$226,0),25),INDEX(Results!$B$2:$AA$226,MATCH(RankPoints!N$4&amp;RankPoints!$B12,Results!$P$2:$P$226,0),24)))</f>
        <v>2850</v>
      </c>
      <c r="O13" s="50">
        <f>IF(ISERROR(IF(ISERROR(INDEX(Results!$B$2:$AA$226,MATCH(RankPoints!O$4&amp;RankPoints!$B12,Results!$P$2:$P$226,0),24)),INDEX(Results!$B$2:$AA$226,MATCH(RankPoints!O$4&amp;RankPoints!$B12,Results!$Q$2:$Q$226,0),25),INDEX(Results!$B$2:$AA$226,MATCH(RankPoints!O$4&amp;RankPoints!$B12,Results!$P$2:$P$226,0),24))),O12,IF(ISERROR(INDEX(Results!$B$2:$AA$226,MATCH(RankPoints!O$4&amp;RankPoints!$B12,Results!$P$2:$P$226,0),24)),INDEX(Results!$B$2:$AA$226,MATCH(RankPoints!O$4&amp;RankPoints!$B12,Results!$Q$2:$Q$226,0),25),INDEX(Results!$B$2:$AA$226,MATCH(RankPoints!O$4&amp;RankPoints!$B12,Results!$P$2:$P$226,0),24)))</f>
        <v>1500</v>
      </c>
      <c r="P13" s="105">
        <f>IF(ISERROR(IF(ISERROR(INDEX(Results!$B$2:$AA$226,MATCH(RankPoints!P$4&amp;RankPoints!$B12,Results!$P$2:$P$226,0),24)),INDEX(Results!$B$2:$AA$226,MATCH(RankPoints!P$4&amp;RankPoints!$B12,Results!$Q$2:$Q$226,0),25),INDEX(Results!$B$2:$AA$226,MATCH(RankPoints!P$4&amp;RankPoints!$B12,Results!$P$2:$P$226,0),24))),P12,IF(ISERROR(INDEX(Results!$B$2:$AA$226,MATCH(RankPoints!P$4&amp;RankPoints!$B12,Results!$P$2:$P$226,0),24)),INDEX(Results!$B$2:$AA$226,MATCH(RankPoints!P$4&amp;RankPoints!$B12,Results!$Q$2:$Q$226,0),25),INDEX(Results!$B$2:$AA$226,MATCH(RankPoints!P$4&amp;RankPoints!$B12,Results!$P$2:$P$226,0),24)))</f>
        <v>1500</v>
      </c>
      <c r="Q13" s="50">
        <f>IF(ISERROR(IF(ISERROR(INDEX(Results!$B$2:$AA$226,MATCH(RankPoints!Q$4&amp;RankPoints!$B12,Results!$P$2:$P$226,0),24)),INDEX(Results!$B$2:$AA$226,MATCH(RankPoints!Q$4&amp;RankPoints!$B12,Results!$Q$2:$Q$226,0),25),INDEX(Results!$B$2:$AA$226,MATCH(RankPoints!Q$4&amp;RankPoints!$B12,Results!$P$2:$P$226,0),24))),Q12,IF(ISERROR(INDEX(Results!$B$2:$AA$226,MATCH(RankPoints!Q$4&amp;RankPoints!$B12,Results!$P$2:$P$226,0),24)),INDEX(Results!$B$2:$AA$226,MATCH(RankPoints!Q$4&amp;RankPoints!$B12,Results!$Q$2:$Q$226,0),25),INDEX(Results!$B$2:$AA$226,MATCH(RankPoints!Q$4&amp;RankPoints!$B12,Results!$P$2:$P$226,0),24)))</f>
        <v>1500</v>
      </c>
      <c r="R13" s="50">
        <f>IF(ISERROR(IF(ISERROR(INDEX(Results!$B$2:$AA$226,MATCH(RankPoints!R$4&amp;RankPoints!$B12,Results!$P$2:$P$226,0),24)),INDEX(Results!$B$2:$AA$226,MATCH(RankPoints!R$4&amp;RankPoints!$B12,Results!$Q$2:$Q$226,0),25),INDEX(Results!$B$2:$AA$226,MATCH(RankPoints!R$4&amp;RankPoints!$B12,Results!$P$2:$P$226,0),24))),R12,IF(ISERROR(INDEX(Results!$B$2:$AA$226,MATCH(RankPoints!R$4&amp;RankPoints!$B12,Results!$P$2:$P$226,0),24)),INDEX(Results!$B$2:$AA$226,MATCH(RankPoints!R$4&amp;RankPoints!$B12,Results!$Q$2:$Q$226,0),25),INDEX(Results!$B$2:$AA$226,MATCH(RankPoints!R$4&amp;RankPoints!$B12,Results!$P$2:$P$226,0),24)))</f>
        <v>1500</v>
      </c>
      <c r="S13" s="50">
        <f>IF(ISERROR(IF(ISERROR(INDEX(Results!$B$2:$AA$226,MATCH(RankPoints!S$4&amp;RankPoints!$B12,Results!$P$2:$P$226,0),24)),INDEX(Results!$B$2:$AA$226,MATCH(RankPoints!S$4&amp;RankPoints!$B12,Results!$Q$2:$Q$226,0),25),INDEX(Results!$B$2:$AA$226,MATCH(RankPoints!S$4&amp;RankPoints!$B12,Results!$P$2:$P$226,0),24))),S12,IF(ISERROR(INDEX(Results!$B$2:$AA$226,MATCH(RankPoints!S$4&amp;RankPoints!$B12,Results!$P$2:$P$226,0),24)),INDEX(Results!$B$2:$AA$226,MATCH(RankPoints!S$4&amp;RankPoints!$B12,Results!$Q$2:$Q$226,0),25),INDEX(Results!$B$2:$AA$226,MATCH(RankPoints!S$4&amp;RankPoints!$B12,Results!$P$2:$P$226,0),24)))</f>
        <v>1516</v>
      </c>
      <c r="T13" s="50">
        <f>IF(ISERROR(IF(ISERROR(INDEX(Results!$B$2:$AA$226,MATCH(RankPoints!T$4&amp;RankPoints!$B12,Results!$P$2:$P$226,0),24)),INDEX(Results!$B$2:$AA$226,MATCH(RankPoints!T$4&amp;RankPoints!$B12,Results!$Q$2:$Q$226,0),25),INDEX(Results!$B$2:$AA$226,MATCH(RankPoints!T$4&amp;RankPoints!$B12,Results!$P$2:$P$226,0),24))),T12,IF(ISERROR(INDEX(Results!$B$2:$AA$226,MATCH(RankPoints!T$4&amp;RankPoints!$B12,Results!$P$2:$P$226,0),24)),INDEX(Results!$B$2:$AA$226,MATCH(RankPoints!T$4&amp;RankPoints!$B12,Results!$Q$2:$Q$226,0),25),INDEX(Results!$B$2:$AA$226,MATCH(RankPoints!T$4&amp;RankPoints!$B12,Results!$P$2:$P$226,0),24)))</f>
        <v>1500</v>
      </c>
      <c r="U13" s="50">
        <f>IF(ISERROR(IF(ISERROR(INDEX(Results!$B$2:$AA$226,MATCH(RankPoints!U$4&amp;RankPoints!$B12,Results!$P$2:$P$226,0),24)),INDEX(Results!$B$2:$AA$226,MATCH(RankPoints!U$4&amp;RankPoints!$B12,Results!$Q$2:$Q$226,0),25),INDEX(Results!$B$2:$AA$226,MATCH(RankPoints!U$4&amp;RankPoints!$B12,Results!$P$2:$P$226,0),24))),U12,IF(ISERROR(INDEX(Results!$B$2:$AA$226,MATCH(RankPoints!U$4&amp;RankPoints!$B12,Results!$P$2:$P$226,0),24)),INDEX(Results!$B$2:$AA$226,MATCH(RankPoints!U$4&amp;RankPoints!$B12,Results!$Q$2:$Q$226,0),25),INDEX(Results!$B$2:$AA$226,MATCH(RankPoints!U$4&amp;RankPoints!$B12,Results!$P$2:$P$226,0),24)))</f>
        <v>1500</v>
      </c>
      <c r="V13" s="50">
        <f>IF(ISERROR(IF(ISERROR(INDEX(Results!$B$2:$AA$226,MATCH(RankPoints!V$4&amp;RankPoints!$B12,Results!$P$2:$P$226,0),24)),INDEX(Results!$B$2:$AA$226,MATCH(RankPoints!V$4&amp;RankPoints!$B12,Results!$Q$2:$Q$226,0),25),INDEX(Results!$B$2:$AA$226,MATCH(RankPoints!V$4&amp;RankPoints!$B12,Results!$P$2:$P$226,0),24))),V12,IF(ISERROR(INDEX(Results!$B$2:$AA$226,MATCH(RankPoints!V$4&amp;RankPoints!$B12,Results!$P$2:$P$226,0),24)),INDEX(Results!$B$2:$AA$226,MATCH(RankPoints!V$4&amp;RankPoints!$B12,Results!$Q$2:$Q$226,0),25),INDEX(Results!$B$2:$AA$226,MATCH(RankPoints!V$4&amp;RankPoints!$B12,Results!$P$2:$P$226,0),24)))</f>
        <v>0</v>
      </c>
      <c r="W13" s="105">
        <f>IF(ISERROR(IF(ISERROR(INDEX(Results!$B$2:$AA$226,MATCH(RankPoints!W$4&amp;RankPoints!$B12,Results!$P$2:$P$226,0),24)),INDEX(Results!$B$2:$AA$226,MATCH(RankPoints!W$4&amp;RankPoints!$B12,Results!$Q$2:$Q$226,0),25),INDEX(Results!$B$2:$AA$226,MATCH(RankPoints!W$4&amp;RankPoints!$B12,Results!$P$2:$P$226,0),24))),W12,IF(ISERROR(INDEX(Results!$B$2:$AA$226,MATCH(RankPoints!W$4&amp;RankPoints!$B12,Results!$P$2:$P$226,0),24)),INDEX(Results!$B$2:$AA$226,MATCH(RankPoints!W$4&amp;RankPoints!$B12,Results!$Q$2:$Q$226,0),25),INDEX(Results!$B$2:$AA$226,MATCH(RankPoints!W$4&amp;RankPoints!$B12,Results!$P$2:$P$226,0),24)))</f>
        <v>1500</v>
      </c>
      <c r="X13" s="106">
        <f>IF(ISERROR(IF(ISERROR(INDEX(Results!$B$2:$AA$226,MATCH(RankPoints!X$4&amp;RankPoints!$B12,Results!$P$2:$P$226,0),24)),INDEX(Results!$B$2:$AA$226,MATCH(RankPoints!X$4&amp;RankPoints!$B12,Results!$Q$2:$Q$226,0),25),INDEX(Results!$B$2:$AA$226,MATCH(RankPoints!X$4&amp;RankPoints!$B12,Results!$P$2:$P$226,0),24))),X12,IF(ISERROR(INDEX(Results!$B$2:$AA$226,MATCH(RankPoints!X$4&amp;RankPoints!$B12,Results!$P$2:$P$226,0),24)),INDEX(Results!$B$2:$AA$226,MATCH(RankPoints!X$4&amp;RankPoints!$B12,Results!$Q$2:$Q$226,0),25),INDEX(Results!$B$2:$AA$226,MATCH(RankPoints!X$4&amp;RankPoints!$B12,Results!$P$2:$P$226,0),24)))</f>
        <v>3180</v>
      </c>
      <c r="Y13" s="50">
        <f>IF(ISERROR(IF(ISERROR(INDEX(Results!$B$2:$AA$226,MATCH(RankPoints!Y$4&amp;RankPoints!$B12,Results!$P$2:$P$226,0),24)),INDEX(Results!$B$2:$AA$226,MATCH(RankPoints!Y$4&amp;RankPoints!$B12,Results!$Q$2:$Q$226,0),25),INDEX(Results!$B$2:$AA$226,MATCH(RankPoints!Y$4&amp;RankPoints!$B12,Results!$P$2:$P$226,0),24))),Y12,IF(ISERROR(INDEX(Results!$B$2:$AA$226,MATCH(RankPoints!Y$4&amp;RankPoints!$B12,Results!$P$2:$P$226,0),24)),INDEX(Results!$B$2:$AA$226,MATCH(RankPoints!Y$4&amp;RankPoints!$B12,Results!$Q$2:$Q$226,0),25),INDEX(Results!$B$2:$AA$226,MATCH(RankPoints!Y$4&amp;RankPoints!$B12,Results!$P$2:$P$226,0),24)))</f>
        <v>72</v>
      </c>
      <c r="Z13" s="50">
        <f>IF(ISERROR(IF(ISERROR(INDEX(Results!$B$2:$AA$226,MATCH(RankPoints!Z$4&amp;RankPoints!$B12,Results!$P$2:$P$226,0),24)),INDEX(Results!$B$2:$AA$226,MATCH(RankPoints!Z$4&amp;RankPoints!$B12,Results!$Q$2:$Q$226,0),25),INDEX(Results!$B$2:$AA$226,MATCH(RankPoints!Z$4&amp;RankPoints!$B12,Results!$P$2:$P$226,0),24))),Z12,IF(ISERROR(INDEX(Results!$B$2:$AA$226,MATCH(RankPoints!Z$4&amp;RankPoints!$B12,Results!$P$2:$P$226,0),24)),INDEX(Results!$B$2:$AA$226,MATCH(RankPoints!Z$4&amp;RankPoints!$B12,Results!$Q$2:$Q$226,0),25),INDEX(Results!$B$2:$AA$226,MATCH(RankPoints!Z$4&amp;RankPoints!$B12,Results!$P$2:$P$226,0),24)))</f>
        <v>1479</v>
      </c>
      <c r="AA13" s="50">
        <f>IF(ISERROR(IF(ISERROR(INDEX(Results!$B$2:$AA$226,MATCH(RankPoints!AA$4&amp;RankPoints!$B12,Results!$P$2:$P$226,0),24)),INDEX(Results!$B$2:$AA$226,MATCH(RankPoints!AA$4&amp;RankPoints!$B12,Results!$Q$2:$Q$226,0),25),INDEX(Results!$B$2:$AA$226,MATCH(RankPoints!AA$4&amp;RankPoints!$B12,Results!$P$2:$P$226,0),24))),AA12,IF(ISERROR(INDEX(Results!$B$2:$AA$226,MATCH(RankPoints!AA$4&amp;RankPoints!$B12,Results!$P$2:$P$226,0),24)),INDEX(Results!$B$2:$AA$226,MATCH(RankPoints!AA$4&amp;RankPoints!$B12,Results!$Q$2:$Q$226,0),25),INDEX(Results!$B$2:$AA$226,MATCH(RankPoints!AA$4&amp;RankPoints!$B12,Results!$P$2:$P$226,0),24)))</f>
        <v>1500</v>
      </c>
      <c r="AB13" s="106">
        <f>IF(ISERROR(IF(ISERROR(INDEX(Results!$B$2:$AA$226,MATCH(RankPoints!AB$4&amp;RankPoints!$B12,Results!$P$2:$P$226,0),24)),INDEX(Results!$B$2:$AA$226,MATCH(RankPoints!AB$4&amp;RankPoints!$B12,Results!$Q$2:$Q$226,0),25),INDEX(Results!$B$2:$AA$226,MATCH(RankPoints!AB$4&amp;RankPoints!$B12,Results!$P$2:$P$226,0),24))),AB12,IF(ISERROR(INDEX(Results!$B$2:$AA$226,MATCH(RankPoints!AB$4&amp;RankPoints!$B12,Results!$P$2:$P$226,0),24)),INDEX(Results!$B$2:$AA$226,MATCH(RankPoints!AB$4&amp;RankPoints!$B12,Results!$Q$2:$Q$226,0),25),INDEX(Results!$B$2:$AA$226,MATCH(RankPoints!AB$4&amp;RankPoints!$B12,Results!$P$2:$P$226,0),24)))</f>
        <v>-3093</v>
      </c>
      <c r="AC13" s="50">
        <f>IF(ISERROR(IF(ISERROR(INDEX(Results!$B$2:$AA$226,MATCH(RankPoints!AC$4&amp;RankPoints!$B12,Results!$P$2:$P$226,0),24)),INDEX(Results!$B$2:$AA$226,MATCH(RankPoints!AC$4&amp;RankPoints!$B12,Results!$Q$2:$Q$226,0),25),INDEX(Results!$B$2:$AA$226,MATCH(RankPoints!AC$4&amp;RankPoints!$B12,Results!$P$2:$P$226,0),24))),AC12,IF(ISERROR(INDEX(Results!$B$2:$AA$226,MATCH(RankPoints!AC$4&amp;RankPoints!$B12,Results!$P$2:$P$226,0),24)),INDEX(Results!$B$2:$AA$226,MATCH(RankPoints!AC$4&amp;RankPoints!$B12,Results!$Q$2:$Q$226,0),25),INDEX(Results!$B$2:$AA$226,MATCH(RankPoints!AC$4&amp;RankPoints!$B12,Results!$P$2:$P$226,0),24)))</f>
        <v>1500</v>
      </c>
      <c r="AD13" s="107">
        <f>IF(ISERROR(IF(ISERROR(INDEX(Results!$B$2:$AA$226,MATCH(RankPoints!AD$4&amp;RankPoints!$B12,Results!$P$2:$P$226,0),24)),INDEX(Results!$B$2:$AA$226,MATCH(RankPoints!AD$4&amp;RankPoints!$B12,Results!$Q$2:$Q$226,0),25),INDEX(Results!$B$2:$AA$226,MATCH(RankPoints!AD$4&amp;RankPoints!$B12,Results!$P$2:$P$226,0),24))),AD12,IF(ISERROR(INDEX(Results!$B$2:$AA$226,MATCH(RankPoints!AD$4&amp;RankPoints!$B12,Results!$P$2:$P$226,0),24)),INDEX(Results!$B$2:$AA$226,MATCH(RankPoints!AD$4&amp;RankPoints!$B12,Results!$Q$2:$Q$226,0),25),INDEX(Results!$B$2:$AA$226,MATCH(RankPoints!AD$4&amp;RankPoints!$B12,Results!$P$2:$P$226,0),24)))</f>
        <v>-104</v>
      </c>
      <c r="AE13" s="106">
        <f>IF(ISERROR(IF(ISERROR(INDEX(Results!$B$2:$AA$226,MATCH(RankPoints!AE$4&amp;RankPoints!$B12,Results!$P$2:$P$226,0),24)),INDEX(Results!$B$2:$AA$226,MATCH(RankPoints!AE$4&amp;RankPoints!$B12,Results!$Q$2:$Q$226,0),25),INDEX(Results!$B$2:$AA$226,MATCH(RankPoints!AE$4&amp;RankPoints!$B12,Results!$P$2:$P$226,0),24))),AE12,IF(ISERROR(INDEX(Results!$B$2:$AA$226,MATCH(RankPoints!AE$4&amp;RankPoints!$B12,Results!$P$2:$P$226,0),24)),INDEX(Results!$B$2:$AA$226,MATCH(RankPoints!AE$4&amp;RankPoints!$B12,Results!$Q$2:$Q$226,0),25),INDEX(Results!$B$2:$AA$226,MATCH(RankPoints!AE$4&amp;RankPoints!$B12,Results!$P$2:$P$226,0),24)))</f>
        <v>351</v>
      </c>
      <c r="AF13" s="106">
        <f>IF(ISERROR(IF(ISERROR(INDEX(Results!$B$2:$AA$226,MATCH(RankPoints!AF$4&amp;RankPoints!$B12,Results!$P$2:$P$226,0),24)),INDEX(Results!$B$2:$AA$226,MATCH(RankPoints!AF$4&amp;RankPoints!$B12,Results!$Q$2:$Q$226,0),25),INDEX(Results!$B$2:$AA$226,MATCH(RankPoints!AF$4&amp;RankPoints!$B12,Results!$P$2:$P$226,0),24))),AF12,IF(ISERROR(INDEX(Results!$B$2:$AA$226,MATCH(RankPoints!AF$4&amp;RankPoints!$B12,Results!$P$2:$P$226,0),24)),INDEX(Results!$B$2:$AA$226,MATCH(RankPoints!AF$4&amp;RankPoints!$B12,Results!$Q$2:$Q$226,0),25),INDEX(Results!$B$2:$AA$226,MATCH(RankPoints!AF$4&amp;RankPoints!$B12,Results!$P$2:$P$226,0),24)))</f>
        <v>1411</v>
      </c>
      <c r="AG13" s="50">
        <f>IF(ISERROR(IF(ISERROR(INDEX(Results!$B$2:$AA$226,MATCH(RankPoints!AG$4&amp;RankPoints!$B12,Results!$P$2:$P$226,0),24)),INDEX(Results!$B$2:$AA$226,MATCH(RankPoints!AG$4&amp;RankPoints!$B12,Results!$Q$2:$Q$226,0),25),INDEX(Results!$B$2:$AA$226,MATCH(RankPoints!AG$4&amp;RankPoints!$B12,Results!$P$2:$P$226,0),24))),AG12,IF(ISERROR(INDEX(Results!$B$2:$AA$226,MATCH(RankPoints!AG$4&amp;RankPoints!$B12,Results!$P$2:$P$226,0),24)),INDEX(Results!$B$2:$AA$226,MATCH(RankPoints!AG$4&amp;RankPoints!$B12,Results!$Q$2:$Q$226,0),25),INDEX(Results!$B$2:$AA$226,MATCH(RankPoints!AG$4&amp;RankPoints!$B12,Results!$P$2:$P$226,0),24)))</f>
        <v>326</v>
      </c>
      <c r="AH13" s="50">
        <f>IF(ISERROR(IF(ISERROR(INDEX(Results!$B$2:$AA$226,MATCH(RankPoints!AH$4&amp;RankPoints!$B12,Results!$P$2:$P$226,0),24)),INDEX(Results!$B$2:$AA$226,MATCH(RankPoints!AH$4&amp;RankPoints!$B12,Results!$Q$2:$Q$226,0),25),INDEX(Results!$B$2:$AA$226,MATCH(RankPoints!AH$4&amp;RankPoints!$B12,Results!$P$2:$P$226,0),24))),AH12,IF(ISERROR(INDEX(Results!$B$2:$AA$226,MATCH(RankPoints!AH$4&amp;RankPoints!$B12,Results!$P$2:$P$226,0),24)),INDEX(Results!$B$2:$AA$226,MATCH(RankPoints!AH$4&amp;RankPoints!$B12,Results!$Q$2:$Q$226,0),25),INDEX(Results!$B$2:$AA$226,MATCH(RankPoints!AH$4&amp;RankPoints!$B12,Results!$P$2:$P$226,0),24)))</f>
        <v>1500</v>
      </c>
      <c r="AI13" s="50">
        <f>IF(ISERROR(IF(ISERROR(INDEX(Results!$B$2:$AA$226,MATCH(RankPoints!AI$4&amp;RankPoints!$B12,Results!$P$2:$P$226,0),24)),INDEX(Results!$B$2:$AA$226,MATCH(RankPoints!AI$4&amp;RankPoints!$B12,Results!$Q$2:$Q$226,0),25),INDEX(Results!$B$2:$AA$226,MATCH(RankPoints!AI$4&amp;RankPoints!$B12,Results!$P$2:$P$226,0),24))),AI12,IF(ISERROR(INDEX(Results!$B$2:$AA$226,MATCH(RankPoints!AI$4&amp;RankPoints!$B12,Results!$P$2:$P$226,0),24)),INDEX(Results!$B$2:$AA$226,MATCH(RankPoints!AI$4&amp;RankPoints!$B12,Results!$Q$2:$Q$226,0),25),INDEX(Results!$B$2:$AA$226,MATCH(RankPoints!AI$4&amp;RankPoints!$B12,Results!$P$2:$P$226,0),24)))</f>
        <v>1500</v>
      </c>
      <c r="AJ13" s="106">
        <f>IF(ISERROR(IF(ISERROR(INDEX(Results!$B$2:$AA$226,MATCH(RankPoints!AJ$4&amp;RankPoints!$B12,Results!$P$2:$P$226,0),24)),INDEX(Results!$B$2:$AA$226,MATCH(RankPoints!AJ$4&amp;RankPoints!$B12,Results!$Q$2:$Q$226,0),25),INDEX(Results!$B$2:$AA$226,MATCH(RankPoints!AJ$4&amp;RankPoints!$B12,Results!$P$2:$P$226,0),24))),AJ12,IF(ISERROR(INDEX(Results!$B$2:$AA$226,MATCH(RankPoints!AJ$4&amp;RankPoints!$B12,Results!$P$2:$P$226,0),24)),INDEX(Results!$B$2:$AA$226,MATCH(RankPoints!AJ$4&amp;RankPoints!$B12,Results!$Q$2:$Q$226,0),25),INDEX(Results!$B$2:$AA$226,MATCH(RankPoints!AJ$4&amp;RankPoints!$B12,Results!$P$2:$P$226,0),24)))</f>
        <v>1493</v>
      </c>
      <c r="AK13" s="107">
        <f>IF(ISERROR(IF(ISERROR(INDEX(Results!$B$2:$AA$226,MATCH(RankPoints!AK$4&amp;RankPoints!$B12,Results!$P$2:$P$226,0),24)),INDEX(Results!$B$2:$AA$226,MATCH(RankPoints!AK$4&amp;RankPoints!$B12,Results!$Q$2:$Q$226,0),25),INDEX(Results!$B$2:$AA$226,MATCH(RankPoints!AK$4&amp;RankPoints!$B12,Results!$P$2:$P$226,0),24))),AK12,IF(ISERROR(INDEX(Results!$B$2:$AA$226,MATCH(RankPoints!AK$4&amp;RankPoints!$B12,Results!$P$2:$P$226,0),24)),INDEX(Results!$B$2:$AA$226,MATCH(RankPoints!AK$4&amp;RankPoints!$B12,Results!$Q$2:$Q$226,0),25),INDEX(Results!$B$2:$AA$226,MATCH(RankPoints!AK$4&amp;RankPoints!$B12,Results!$P$2:$P$226,0),24)))</f>
        <v>799</v>
      </c>
    </row>
    <row r="14" spans="2:37" ht="12.75">
      <c r="B14" s="114">
        <f t="shared" si="0"/>
        <v>10</v>
      </c>
      <c r="C14" s="104">
        <f>IF(ISERROR(IF(ISERROR(INDEX(Results!$B$2:$AA$226,MATCH(RankPoints!C$4&amp;RankPoints!$B13,Results!$P$2:$P$226,0),24)),INDEX(Results!$B$2:$AA$226,MATCH(RankPoints!C$4&amp;RankPoints!$B13,Results!$Q$2:$Q$226,0),25),INDEX(Results!$B$2:$AA$226,MATCH(RankPoints!C$4&amp;RankPoints!$B13,Results!$P$2:$P$226,0),24))),C13,IF(ISERROR(INDEX(Results!$B$2:$AA$226,MATCH(RankPoints!C$4&amp;RankPoints!$B13,Results!$P$2:$P$226,0),24)),INDEX(Results!$B$2:$AA$226,MATCH(RankPoints!C$4&amp;RankPoints!$B13,Results!$Q$2:$Q$226,0),25),INDEX(Results!$B$2:$AA$226,MATCH(RankPoints!C$4&amp;RankPoints!$B13,Results!$P$2:$P$226,0),24)))</f>
        <v>1500</v>
      </c>
      <c r="D14" s="106">
        <f>IF(ISERROR(IF(ISERROR(INDEX(Results!$B$2:$AA$226,MATCH(RankPoints!D$4&amp;RankPoints!$B13,Results!$P$2:$P$226,0),24)),INDEX(Results!$B$2:$AA$226,MATCH(RankPoints!D$4&amp;RankPoints!$B13,Results!$Q$2:$Q$226,0),25),INDEX(Results!$B$2:$AA$226,MATCH(RankPoints!D$4&amp;RankPoints!$B13,Results!$P$2:$P$226,0),24))),D13,IF(ISERROR(INDEX(Results!$B$2:$AA$226,MATCH(RankPoints!D$4&amp;RankPoints!$B13,Results!$P$2:$P$226,0),24)),INDEX(Results!$B$2:$AA$226,MATCH(RankPoints!D$4&amp;RankPoints!$B13,Results!$Q$2:$Q$226,0),25),INDEX(Results!$B$2:$AA$226,MATCH(RankPoints!D$4&amp;RankPoints!$B13,Results!$P$2:$P$226,0),24)))</f>
        <v>1516</v>
      </c>
      <c r="E14" s="106">
        <f>IF(ISERROR(IF(ISERROR(INDEX(Results!$B$2:$AA$226,MATCH(RankPoints!E$4&amp;RankPoints!$B13,Results!$P$2:$P$226,0),24)),INDEX(Results!$B$2:$AA$226,MATCH(RankPoints!E$4&amp;RankPoints!$B13,Results!$Q$2:$Q$226,0),25),INDEX(Results!$B$2:$AA$226,MATCH(RankPoints!E$4&amp;RankPoints!$B13,Results!$P$2:$P$226,0),24))),E13,IF(ISERROR(INDEX(Results!$B$2:$AA$226,MATCH(RankPoints!E$4&amp;RankPoints!$B13,Results!$P$2:$P$226,0),24)),INDEX(Results!$B$2:$AA$226,MATCH(RankPoints!E$4&amp;RankPoints!$B13,Results!$Q$2:$Q$226,0),25),INDEX(Results!$B$2:$AA$226,MATCH(RankPoints!E$4&amp;RankPoints!$B13,Results!$P$2:$P$226,0),24)))</f>
        <v>1731</v>
      </c>
      <c r="F14" s="50">
        <f>IF(ISERROR(IF(ISERROR(INDEX(Results!$B$2:$AA$226,MATCH(RankPoints!F$4&amp;RankPoints!$B13,Results!$P$2:$P$226,0),24)),INDEX(Results!$B$2:$AA$226,MATCH(RankPoints!F$4&amp;RankPoints!$B13,Results!$Q$2:$Q$226,0),25),INDEX(Results!$B$2:$AA$226,MATCH(RankPoints!F$4&amp;RankPoints!$B13,Results!$P$2:$P$226,0),24))),F13,IF(ISERROR(INDEX(Results!$B$2:$AA$226,MATCH(RankPoints!F$4&amp;RankPoints!$B13,Results!$P$2:$P$226,0),24)),INDEX(Results!$B$2:$AA$226,MATCH(RankPoints!F$4&amp;RankPoints!$B13,Results!$Q$2:$Q$226,0),25),INDEX(Results!$B$2:$AA$226,MATCH(RankPoints!F$4&amp;RankPoints!$B13,Results!$P$2:$P$226,0),24)))</f>
        <v>1500</v>
      </c>
      <c r="G14" s="50">
        <f>IF(ISERROR(IF(ISERROR(INDEX(Results!$B$2:$AA$226,MATCH(RankPoints!G$4&amp;RankPoints!$B13,Results!$P$2:$P$226,0),24)),INDEX(Results!$B$2:$AA$226,MATCH(RankPoints!G$4&amp;RankPoints!$B13,Results!$Q$2:$Q$226,0),25),INDEX(Results!$B$2:$AA$226,MATCH(RankPoints!G$4&amp;RankPoints!$B13,Results!$P$2:$P$226,0),24))),G13,IF(ISERROR(INDEX(Results!$B$2:$AA$226,MATCH(RankPoints!G$4&amp;RankPoints!$B13,Results!$P$2:$P$226,0),24)),INDEX(Results!$B$2:$AA$226,MATCH(RankPoints!G$4&amp;RankPoints!$B13,Results!$Q$2:$Q$226,0),25),INDEX(Results!$B$2:$AA$226,MATCH(RankPoints!G$4&amp;RankPoints!$B13,Results!$P$2:$P$226,0),24)))</f>
        <v>0</v>
      </c>
      <c r="H14" s="50">
        <f>IF(ISERROR(IF(ISERROR(INDEX(Results!$B$2:$AA$226,MATCH(RankPoints!H$4&amp;RankPoints!$B13,Results!$P$2:$P$226,0),24)),INDEX(Results!$B$2:$AA$226,MATCH(RankPoints!H$4&amp;RankPoints!$B13,Results!$Q$2:$Q$226,0),25),INDEX(Results!$B$2:$AA$226,MATCH(RankPoints!H$4&amp;RankPoints!$B13,Results!$P$2:$P$226,0),24))),H13,IF(ISERROR(INDEX(Results!$B$2:$AA$226,MATCH(RankPoints!H$4&amp;RankPoints!$B13,Results!$P$2:$P$226,0),24)),INDEX(Results!$B$2:$AA$226,MATCH(RankPoints!H$4&amp;RankPoints!$B13,Results!$Q$2:$Q$226,0),25),INDEX(Results!$B$2:$AA$226,MATCH(RankPoints!H$4&amp;RankPoints!$B13,Results!$P$2:$P$226,0),24)))</f>
        <v>1651</v>
      </c>
      <c r="I14" s="105">
        <f>IF(ISERROR(IF(ISERROR(INDEX(Results!$B$2:$AA$226,MATCH(RankPoints!I$4&amp;RankPoints!$B13,Results!$P$2:$P$226,0),24)),INDEX(Results!$B$2:$AA$226,MATCH(RankPoints!I$4&amp;RankPoints!$B13,Results!$Q$2:$Q$226,0),25),INDEX(Results!$B$2:$AA$226,MATCH(RankPoints!I$4&amp;RankPoints!$B13,Results!$P$2:$P$226,0),24))),I13,IF(ISERROR(INDEX(Results!$B$2:$AA$226,MATCH(RankPoints!I$4&amp;RankPoints!$B13,Results!$P$2:$P$226,0),24)),INDEX(Results!$B$2:$AA$226,MATCH(RankPoints!I$4&amp;RankPoints!$B13,Results!$Q$2:$Q$226,0),25),INDEX(Results!$B$2:$AA$226,MATCH(RankPoints!I$4&amp;RankPoints!$B13,Results!$P$2:$P$226,0),24)))</f>
        <v>1500</v>
      </c>
      <c r="J14" s="106">
        <f>IF(ISERROR(IF(ISERROR(INDEX(Results!$B$2:$AA$226,MATCH(RankPoints!J$4&amp;RankPoints!$B13,Results!$P$2:$P$226,0),24)),INDEX(Results!$B$2:$AA$226,MATCH(RankPoints!J$4&amp;RankPoints!$B13,Results!$Q$2:$Q$226,0),25),INDEX(Results!$B$2:$AA$226,MATCH(RankPoints!J$4&amp;RankPoints!$B13,Results!$P$2:$P$226,0),24))),J13,IF(ISERROR(INDEX(Results!$B$2:$AA$226,MATCH(RankPoints!J$4&amp;RankPoints!$B13,Results!$P$2:$P$226,0),24)),INDEX(Results!$B$2:$AA$226,MATCH(RankPoints!J$4&amp;RankPoints!$B13,Results!$Q$2:$Q$226,0),25),INDEX(Results!$B$2:$AA$226,MATCH(RankPoints!J$4&amp;RankPoints!$B13,Results!$P$2:$P$226,0),24)))</f>
        <v>-1255</v>
      </c>
      <c r="K14" s="50">
        <f>IF(ISERROR(IF(ISERROR(INDEX(Results!$B$2:$AA$226,MATCH(RankPoints!K$4&amp;RankPoints!$B13,Results!$P$2:$P$226,0),24)),INDEX(Results!$B$2:$AA$226,MATCH(RankPoints!K$4&amp;RankPoints!$B13,Results!$Q$2:$Q$226,0),25),INDEX(Results!$B$2:$AA$226,MATCH(RankPoints!K$4&amp;RankPoints!$B13,Results!$P$2:$P$226,0),24))),K13,IF(ISERROR(INDEX(Results!$B$2:$AA$226,MATCH(RankPoints!K$4&amp;RankPoints!$B13,Results!$P$2:$P$226,0),24)),INDEX(Results!$B$2:$AA$226,MATCH(RankPoints!K$4&amp;RankPoints!$B13,Results!$Q$2:$Q$226,0),25),INDEX(Results!$B$2:$AA$226,MATCH(RankPoints!K$4&amp;RankPoints!$B13,Results!$P$2:$P$226,0),24)))</f>
        <v>1500</v>
      </c>
      <c r="L14" s="50">
        <f>IF(ISERROR(IF(ISERROR(INDEX(Results!$B$2:$AA$226,MATCH(RankPoints!L$4&amp;RankPoints!$B13,Results!$P$2:$P$226,0),24)),INDEX(Results!$B$2:$AA$226,MATCH(RankPoints!L$4&amp;RankPoints!$B13,Results!$Q$2:$Q$226,0),25),INDEX(Results!$B$2:$AA$226,MATCH(RankPoints!L$4&amp;RankPoints!$B13,Results!$P$2:$P$226,0),24))),L13,IF(ISERROR(INDEX(Results!$B$2:$AA$226,MATCH(RankPoints!L$4&amp;RankPoints!$B13,Results!$P$2:$P$226,0),24)),INDEX(Results!$B$2:$AA$226,MATCH(RankPoints!L$4&amp;RankPoints!$B13,Results!$Q$2:$Q$226,0),25),INDEX(Results!$B$2:$AA$226,MATCH(RankPoints!L$4&amp;RankPoints!$B13,Results!$P$2:$P$226,0),24)))</f>
        <v>1500</v>
      </c>
      <c r="M14" s="106">
        <f>IF(ISERROR(IF(ISERROR(INDEX(Results!$B$2:$AA$226,MATCH(RankPoints!M$4&amp;RankPoints!$B13,Results!$P$2:$P$226,0),24)),INDEX(Results!$B$2:$AA$226,MATCH(RankPoints!M$4&amp;RankPoints!$B13,Results!$Q$2:$Q$226,0),25),INDEX(Results!$B$2:$AA$226,MATCH(RankPoints!M$4&amp;RankPoints!$B13,Results!$P$2:$P$226,0),24))),M13,IF(ISERROR(INDEX(Results!$B$2:$AA$226,MATCH(RankPoints!M$4&amp;RankPoints!$B13,Results!$P$2:$P$226,0),24)),INDEX(Results!$B$2:$AA$226,MATCH(RankPoints!M$4&amp;RankPoints!$B13,Results!$Q$2:$Q$226,0),25),INDEX(Results!$B$2:$AA$226,MATCH(RankPoints!M$4&amp;RankPoints!$B13,Results!$P$2:$P$226,0),24)))</f>
        <v>1380</v>
      </c>
      <c r="N14" s="106">
        <f>IF(ISERROR(IF(ISERROR(INDEX(Results!$B$2:$AA$226,MATCH(RankPoints!N$4&amp;RankPoints!$B13,Results!$P$2:$P$226,0),24)),INDEX(Results!$B$2:$AA$226,MATCH(RankPoints!N$4&amp;RankPoints!$B13,Results!$Q$2:$Q$226,0),25),INDEX(Results!$B$2:$AA$226,MATCH(RankPoints!N$4&amp;RankPoints!$B13,Results!$P$2:$P$226,0),24))),N13,IF(ISERROR(INDEX(Results!$B$2:$AA$226,MATCH(RankPoints!N$4&amp;RankPoints!$B13,Results!$P$2:$P$226,0),24)),INDEX(Results!$B$2:$AA$226,MATCH(RankPoints!N$4&amp;RankPoints!$B13,Results!$Q$2:$Q$226,0),25),INDEX(Results!$B$2:$AA$226,MATCH(RankPoints!N$4&amp;RankPoints!$B13,Results!$P$2:$P$226,0),24)))</f>
        <v>2850</v>
      </c>
      <c r="O14" s="50">
        <f>IF(ISERROR(IF(ISERROR(INDEX(Results!$B$2:$AA$226,MATCH(RankPoints!O$4&amp;RankPoints!$B13,Results!$P$2:$P$226,0),24)),INDEX(Results!$B$2:$AA$226,MATCH(RankPoints!O$4&amp;RankPoints!$B13,Results!$Q$2:$Q$226,0),25),INDEX(Results!$B$2:$AA$226,MATCH(RankPoints!O$4&amp;RankPoints!$B13,Results!$P$2:$P$226,0),24))),O13,IF(ISERROR(INDEX(Results!$B$2:$AA$226,MATCH(RankPoints!O$4&amp;RankPoints!$B13,Results!$P$2:$P$226,0),24)),INDEX(Results!$B$2:$AA$226,MATCH(RankPoints!O$4&amp;RankPoints!$B13,Results!$Q$2:$Q$226,0),25),INDEX(Results!$B$2:$AA$226,MATCH(RankPoints!O$4&amp;RankPoints!$B13,Results!$P$2:$P$226,0),24)))</f>
        <v>1500</v>
      </c>
      <c r="P14" s="105">
        <f>IF(ISERROR(IF(ISERROR(INDEX(Results!$B$2:$AA$226,MATCH(RankPoints!P$4&amp;RankPoints!$B13,Results!$P$2:$P$226,0),24)),INDEX(Results!$B$2:$AA$226,MATCH(RankPoints!P$4&amp;RankPoints!$B13,Results!$Q$2:$Q$226,0),25),INDEX(Results!$B$2:$AA$226,MATCH(RankPoints!P$4&amp;RankPoints!$B13,Results!$P$2:$P$226,0),24))),P13,IF(ISERROR(INDEX(Results!$B$2:$AA$226,MATCH(RankPoints!P$4&amp;RankPoints!$B13,Results!$P$2:$P$226,0),24)),INDEX(Results!$B$2:$AA$226,MATCH(RankPoints!P$4&amp;RankPoints!$B13,Results!$Q$2:$Q$226,0),25),INDEX(Results!$B$2:$AA$226,MATCH(RankPoints!P$4&amp;RankPoints!$B13,Results!$P$2:$P$226,0),24)))</f>
        <v>1500</v>
      </c>
      <c r="Q14" s="50">
        <f>IF(ISERROR(IF(ISERROR(INDEX(Results!$B$2:$AA$226,MATCH(RankPoints!Q$4&amp;RankPoints!$B13,Results!$P$2:$P$226,0),24)),INDEX(Results!$B$2:$AA$226,MATCH(RankPoints!Q$4&amp;RankPoints!$B13,Results!$Q$2:$Q$226,0),25),INDEX(Results!$B$2:$AA$226,MATCH(RankPoints!Q$4&amp;RankPoints!$B13,Results!$P$2:$P$226,0),24))),Q13,IF(ISERROR(INDEX(Results!$B$2:$AA$226,MATCH(RankPoints!Q$4&amp;RankPoints!$B13,Results!$P$2:$P$226,0),24)),INDEX(Results!$B$2:$AA$226,MATCH(RankPoints!Q$4&amp;RankPoints!$B13,Results!$Q$2:$Q$226,0),25),INDEX(Results!$B$2:$AA$226,MATCH(RankPoints!Q$4&amp;RankPoints!$B13,Results!$P$2:$P$226,0),24)))</f>
        <v>1500</v>
      </c>
      <c r="R14" s="50">
        <f>IF(ISERROR(IF(ISERROR(INDEX(Results!$B$2:$AA$226,MATCH(RankPoints!R$4&amp;RankPoints!$B13,Results!$P$2:$P$226,0),24)),INDEX(Results!$B$2:$AA$226,MATCH(RankPoints!R$4&amp;RankPoints!$B13,Results!$Q$2:$Q$226,0),25),INDEX(Results!$B$2:$AA$226,MATCH(RankPoints!R$4&amp;RankPoints!$B13,Results!$P$2:$P$226,0),24))),R13,IF(ISERROR(INDEX(Results!$B$2:$AA$226,MATCH(RankPoints!R$4&amp;RankPoints!$B13,Results!$P$2:$P$226,0),24)),INDEX(Results!$B$2:$AA$226,MATCH(RankPoints!R$4&amp;RankPoints!$B13,Results!$Q$2:$Q$226,0),25),INDEX(Results!$B$2:$AA$226,MATCH(RankPoints!R$4&amp;RankPoints!$B13,Results!$P$2:$P$226,0),24)))</f>
        <v>1500</v>
      </c>
      <c r="S14" s="50">
        <f>IF(ISERROR(IF(ISERROR(INDEX(Results!$B$2:$AA$226,MATCH(RankPoints!S$4&amp;RankPoints!$B13,Results!$P$2:$P$226,0),24)),INDEX(Results!$B$2:$AA$226,MATCH(RankPoints!S$4&amp;RankPoints!$B13,Results!$Q$2:$Q$226,0),25),INDEX(Results!$B$2:$AA$226,MATCH(RankPoints!S$4&amp;RankPoints!$B13,Results!$P$2:$P$226,0),24))),S13,IF(ISERROR(INDEX(Results!$B$2:$AA$226,MATCH(RankPoints!S$4&amp;RankPoints!$B13,Results!$P$2:$P$226,0),24)),INDEX(Results!$B$2:$AA$226,MATCH(RankPoints!S$4&amp;RankPoints!$B13,Results!$Q$2:$Q$226,0),25),INDEX(Results!$B$2:$AA$226,MATCH(RankPoints!S$4&amp;RankPoints!$B13,Results!$P$2:$P$226,0),24)))</f>
        <v>1516</v>
      </c>
      <c r="T14" s="50">
        <f>IF(ISERROR(IF(ISERROR(INDEX(Results!$B$2:$AA$226,MATCH(RankPoints!T$4&amp;RankPoints!$B13,Results!$P$2:$P$226,0),24)),INDEX(Results!$B$2:$AA$226,MATCH(RankPoints!T$4&amp;RankPoints!$B13,Results!$Q$2:$Q$226,0),25),INDEX(Results!$B$2:$AA$226,MATCH(RankPoints!T$4&amp;RankPoints!$B13,Results!$P$2:$P$226,0),24))),T13,IF(ISERROR(INDEX(Results!$B$2:$AA$226,MATCH(RankPoints!T$4&amp;RankPoints!$B13,Results!$P$2:$P$226,0),24)),INDEX(Results!$B$2:$AA$226,MATCH(RankPoints!T$4&amp;RankPoints!$B13,Results!$Q$2:$Q$226,0),25),INDEX(Results!$B$2:$AA$226,MATCH(RankPoints!T$4&amp;RankPoints!$B13,Results!$P$2:$P$226,0),24)))</f>
        <v>1500</v>
      </c>
      <c r="U14" s="50">
        <f>IF(ISERROR(IF(ISERROR(INDEX(Results!$B$2:$AA$226,MATCH(RankPoints!U$4&amp;RankPoints!$B13,Results!$P$2:$P$226,0),24)),INDEX(Results!$B$2:$AA$226,MATCH(RankPoints!U$4&amp;RankPoints!$B13,Results!$Q$2:$Q$226,0),25),INDEX(Results!$B$2:$AA$226,MATCH(RankPoints!U$4&amp;RankPoints!$B13,Results!$P$2:$P$226,0),24))),U13,IF(ISERROR(INDEX(Results!$B$2:$AA$226,MATCH(RankPoints!U$4&amp;RankPoints!$B13,Results!$P$2:$P$226,0),24)),INDEX(Results!$B$2:$AA$226,MATCH(RankPoints!U$4&amp;RankPoints!$B13,Results!$Q$2:$Q$226,0),25),INDEX(Results!$B$2:$AA$226,MATCH(RankPoints!U$4&amp;RankPoints!$B13,Results!$P$2:$P$226,0),24)))</f>
        <v>1500</v>
      </c>
      <c r="V14" s="50">
        <f>IF(ISERROR(IF(ISERROR(INDEX(Results!$B$2:$AA$226,MATCH(RankPoints!V$4&amp;RankPoints!$B13,Results!$P$2:$P$226,0),24)),INDEX(Results!$B$2:$AA$226,MATCH(RankPoints!V$4&amp;RankPoints!$B13,Results!$Q$2:$Q$226,0),25),INDEX(Results!$B$2:$AA$226,MATCH(RankPoints!V$4&amp;RankPoints!$B13,Results!$P$2:$P$226,0),24))),V13,IF(ISERROR(INDEX(Results!$B$2:$AA$226,MATCH(RankPoints!V$4&amp;RankPoints!$B13,Results!$P$2:$P$226,0),24)),INDEX(Results!$B$2:$AA$226,MATCH(RankPoints!V$4&amp;RankPoints!$B13,Results!$Q$2:$Q$226,0),25),INDEX(Results!$B$2:$AA$226,MATCH(RankPoints!V$4&amp;RankPoints!$B13,Results!$P$2:$P$226,0),24)))</f>
        <v>0</v>
      </c>
      <c r="W14" s="105">
        <f>IF(ISERROR(IF(ISERROR(INDEX(Results!$B$2:$AA$226,MATCH(RankPoints!W$4&amp;RankPoints!$B13,Results!$P$2:$P$226,0),24)),INDEX(Results!$B$2:$AA$226,MATCH(RankPoints!W$4&amp;RankPoints!$B13,Results!$Q$2:$Q$226,0),25),INDEX(Results!$B$2:$AA$226,MATCH(RankPoints!W$4&amp;RankPoints!$B13,Results!$P$2:$P$226,0),24))),W13,IF(ISERROR(INDEX(Results!$B$2:$AA$226,MATCH(RankPoints!W$4&amp;RankPoints!$B13,Results!$P$2:$P$226,0),24)),INDEX(Results!$B$2:$AA$226,MATCH(RankPoints!W$4&amp;RankPoints!$B13,Results!$Q$2:$Q$226,0),25),INDEX(Results!$B$2:$AA$226,MATCH(RankPoints!W$4&amp;RankPoints!$B13,Results!$P$2:$P$226,0),24)))</f>
        <v>1500</v>
      </c>
      <c r="X14" s="106">
        <f>IF(ISERROR(IF(ISERROR(INDEX(Results!$B$2:$AA$226,MATCH(RankPoints!X$4&amp;RankPoints!$B13,Results!$P$2:$P$226,0),24)),INDEX(Results!$B$2:$AA$226,MATCH(RankPoints!X$4&amp;RankPoints!$B13,Results!$Q$2:$Q$226,0),25),INDEX(Results!$B$2:$AA$226,MATCH(RankPoints!X$4&amp;RankPoints!$B13,Results!$P$2:$P$226,0),24))),X13,IF(ISERROR(INDEX(Results!$B$2:$AA$226,MATCH(RankPoints!X$4&amp;RankPoints!$B13,Results!$P$2:$P$226,0),24)),INDEX(Results!$B$2:$AA$226,MATCH(RankPoints!X$4&amp;RankPoints!$B13,Results!$Q$2:$Q$226,0),25),INDEX(Results!$B$2:$AA$226,MATCH(RankPoints!X$4&amp;RankPoints!$B13,Results!$P$2:$P$226,0),24)))</f>
        <v>-3108</v>
      </c>
      <c r="Y14" s="50">
        <f>IF(ISERROR(IF(ISERROR(INDEX(Results!$B$2:$AA$226,MATCH(RankPoints!Y$4&amp;RankPoints!$B13,Results!$P$2:$P$226,0),24)),INDEX(Results!$B$2:$AA$226,MATCH(RankPoints!Y$4&amp;RankPoints!$B13,Results!$Q$2:$Q$226,0),25),INDEX(Results!$B$2:$AA$226,MATCH(RankPoints!Y$4&amp;RankPoints!$B13,Results!$P$2:$P$226,0),24))),Y13,IF(ISERROR(INDEX(Results!$B$2:$AA$226,MATCH(RankPoints!Y$4&amp;RankPoints!$B13,Results!$P$2:$P$226,0),24)),INDEX(Results!$B$2:$AA$226,MATCH(RankPoints!Y$4&amp;RankPoints!$B13,Results!$Q$2:$Q$226,0),25),INDEX(Results!$B$2:$AA$226,MATCH(RankPoints!Y$4&amp;RankPoints!$B13,Results!$P$2:$P$226,0),24)))</f>
        <v>3212</v>
      </c>
      <c r="Z14" s="50">
        <f>IF(ISERROR(IF(ISERROR(INDEX(Results!$B$2:$AA$226,MATCH(RankPoints!Z$4&amp;RankPoints!$B13,Results!$P$2:$P$226,0),24)),INDEX(Results!$B$2:$AA$226,MATCH(RankPoints!Z$4&amp;RankPoints!$B13,Results!$Q$2:$Q$226,0),25),INDEX(Results!$B$2:$AA$226,MATCH(RankPoints!Z$4&amp;RankPoints!$B13,Results!$P$2:$P$226,0),24))),Z13,IF(ISERROR(INDEX(Results!$B$2:$AA$226,MATCH(RankPoints!Z$4&amp;RankPoints!$B13,Results!$P$2:$P$226,0),24)),INDEX(Results!$B$2:$AA$226,MATCH(RankPoints!Z$4&amp;RankPoints!$B13,Results!$Q$2:$Q$226,0),25),INDEX(Results!$B$2:$AA$226,MATCH(RankPoints!Z$4&amp;RankPoints!$B13,Results!$P$2:$P$226,0),24)))</f>
        <v>-136</v>
      </c>
      <c r="AA14" s="50">
        <f>IF(ISERROR(IF(ISERROR(INDEX(Results!$B$2:$AA$226,MATCH(RankPoints!AA$4&amp;RankPoints!$B13,Results!$P$2:$P$226,0),24)),INDEX(Results!$B$2:$AA$226,MATCH(RankPoints!AA$4&amp;RankPoints!$B13,Results!$Q$2:$Q$226,0),25),INDEX(Results!$B$2:$AA$226,MATCH(RankPoints!AA$4&amp;RankPoints!$B13,Results!$P$2:$P$226,0),24))),AA13,IF(ISERROR(INDEX(Results!$B$2:$AA$226,MATCH(RankPoints!AA$4&amp;RankPoints!$B13,Results!$P$2:$P$226,0),24)),INDEX(Results!$B$2:$AA$226,MATCH(RankPoints!AA$4&amp;RankPoints!$B13,Results!$Q$2:$Q$226,0),25),INDEX(Results!$B$2:$AA$226,MATCH(RankPoints!AA$4&amp;RankPoints!$B13,Results!$P$2:$P$226,0),24)))</f>
        <v>1500</v>
      </c>
      <c r="AB14" s="106">
        <f>IF(ISERROR(IF(ISERROR(INDEX(Results!$B$2:$AA$226,MATCH(RankPoints!AB$4&amp;RankPoints!$B13,Results!$P$2:$P$226,0),24)),INDEX(Results!$B$2:$AA$226,MATCH(RankPoints!AB$4&amp;RankPoints!$B13,Results!$Q$2:$Q$226,0),25),INDEX(Results!$B$2:$AA$226,MATCH(RankPoints!AB$4&amp;RankPoints!$B13,Results!$P$2:$P$226,0),24))),AB13,IF(ISERROR(INDEX(Results!$B$2:$AA$226,MATCH(RankPoints!AB$4&amp;RankPoints!$B13,Results!$P$2:$P$226,0),24)),INDEX(Results!$B$2:$AA$226,MATCH(RankPoints!AB$4&amp;RankPoints!$B13,Results!$Q$2:$Q$226,0),25),INDEX(Results!$B$2:$AA$226,MATCH(RankPoints!AB$4&amp;RankPoints!$B13,Results!$P$2:$P$226,0),24)))</f>
        <v>-3093</v>
      </c>
      <c r="AC14" s="50">
        <f>IF(ISERROR(IF(ISERROR(INDEX(Results!$B$2:$AA$226,MATCH(RankPoints!AC$4&amp;RankPoints!$B13,Results!$P$2:$P$226,0),24)),INDEX(Results!$B$2:$AA$226,MATCH(RankPoints!AC$4&amp;RankPoints!$B13,Results!$Q$2:$Q$226,0),25),INDEX(Results!$B$2:$AA$226,MATCH(RankPoints!AC$4&amp;RankPoints!$B13,Results!$P$2:$P$226,0),24))),AC13,IF(ISERROR(INDEX(Results!$B$2:$AA$226,MATCH(RankPoints!AC$4&amp;RankPoints!$B13,Results!$P$2:$P$226,0),24)),INDEX(Results!$B$2:$AA$226,MATCH(RankPoints!AC$4&amp;RankPoints!$B13,Results!$Q$2:$Q$226,0),25),INDEX(Results!$B$2:$AA$226,MATCH(RankPoints!AC$4&amp;RankPoints!$B13,Results!$P$2:$P$226,0),24)))</f>
        <v>1500</v>
      </c>
      <c r="AD14" s="107">
        <f>IF(ISERROR(IF(ISERROR(INDEX(Results!$B$2:$AA$226,MATCH(RankPoints!AD$4&amp;RankPoints!$B13,Results!$P$2:$P$226,0),24)),INDEX(Results!$B$2:$AA$226,MATCH(RankPoints!AD$4&amp;RankPoints!$B13,Results!$Q$2:$Q$226,0),25),INDEX(Results!$B$2:$AA$226,MATCH(RankPoints!AD$4&amp;RankPoints!$B13,Results!$P$2:$P$226,0),24))),AD13,IF(ISERROR(INDEX(Results!$B$2:$AA$226,MATCH(RankPoints!AD$4&amp;RankPoints!$B13,Results!$P$2:$P$226,0),24)),INDEX(Results!$B$2:$AA$226,MATCH(RankPoints!AD$4&amp;RankPoints!$B13,Results!$Q$2:$Q$226,0),25),INDEX(Results!$B$2:$AA$226,MATCH(RankPoints!AD$4&amp;RankPoints!$B13,Results!$P$2:$P$226,0),24)))</f>
        <v>1583</v>
      </c>
      <c r="AE14" s="106">
        <f>IF(ISERROR(IF(ISERROR(INDEX(Results!$B$2:$AA$226,MATCH(RankPoints!AE$4&amp;RankPoints!$B13,Results!$P$2:$P$226,0),24)),INDEX(Results!$B$2:$AA$226,MATCH(RankPoints!AE$4&amp;RankPoints!$B13,Results!$Q$2:$Q$226,0),25),INDEX(Results!$B$2:$AA$226,MATCH(RankPoints!AE$4&amp;RankPoints!$B13,Results!$P$2:$P$226,0),24))),AE13,IF(ISERROR(INDEX(Results!$B$2:$AA$226,MATCH(RankPoints!AE$4&amp;RankPoints!$B13,Results!$P$2:$P$226,0),24)),INDEX(Results!$B$2:$AA$226,MATCH(RankPoints!AE$4&amp;RankPoints!$B13,Results!$Q$2:$Q$226,0),25),INDEX(Results!$B$2:$AA$226,MATCH(RankPoints!AE$4&amp;RankPoints!$B13,Results!$P$2:$P$226,0),24)))</f>
        <v>351</v>
      </c>
      <c r="AF14" s="106">
        <f>IF(ISERROR(IF(ISERROR(INDEX(Results!$B$2:$AA$226,MATCH(RankPoints!AF$4&amp;RankPoints!$B13,Results!$P$2:$P$226,0),24)),INDEX(Results!$B$2:$AA$226,MATCH(RankPoints!AF$4&amp;RankPoints!$B13,Results!$Q$2:$Q$226,0),25),INDEX(Results!$B$2:$AA$226,MATCH(RankPoints!AF$4&amp;RankPoints!$B13,Results!$P$2:$P$226,0),24))),AF13,IF(ISERROR(INDEX(Results!$B$2:$AA$226,MATCH(RankPoints!AF$4&amp;RankPoints!$B13,Results!$P$2:$P$226,0),24)),INDEX(Results!$B$2:$AA$226,MATCH(RankPoints!AF$4&amp;RankPoints!$B13,Results!$Q$2:$Q$226,0),25),INDEX(Results!$B$2:$AA$226,MATCH(RankPoints!AF$4&amp;RankPoints!$B13,Results!$P$2:$P$226,0),24)))</f>
        <v>1411</v>
      </c>
      <c r="AG14" s="50">
        <f>IF(ISERROR(IF(ISERROR(INDEX(Results!$B$2:$AA$226,MATCH(RankPoints!AG$4&amp;RankPoints!$B13,Results!$P$2:$P$226,0),24)),INDEX(Results!$B$2:$AA$226,MATCH(RankPoints!AG$4&amp;RankPoints!$B13,Results!$Q$2:$Q$226,0),25),INDEX(Results!$B$2:$AA$226,MATCH(RankPoints!AG$4&amp;RankPoints!$B13,Results!$P$2:$P$226,0),24))),AG13,IF(ISERROR(INDEX(Results!$B$2:$AA$226,MATCH(RankPoints!AG$4&amp;RankPoints!$B13,Results!$P$2:$P$226,0),24)),INDEX(Results!$B$2:$AA$226,MATCH(RankPoints!AG$4&amp;RankPoints!$B13,Results!$Q$2:$Q$226,0),25),INDEX(Results!$B$2:$AA$226,MATCH(RankPoints!AG$4&amp;RankPoints!$B13,Results!$P$2:$P$226,0),24)))</f>
        <v>326</v>
      </c>
      <c r="AH14" s="50">
        <f>IF(ISERROR(IF(ISERROR(INDEX(Results!$B$2:$AA$226,MATCH(RankPoints!AH$4&amp;RankPoints!$B13,Results!$P$2:$P$226,0),24)),INDEX(Results!$B$2:$AA$226,MATCH(RankPoints!AH$4&amp;RankPoints!$B13,Results!$Q$2:$Q$226,0),25),INDEX(Results!$B$2:$AA$226,MATCH(RankPoints!AH$4&amp;RankPoints!$B13,Results!$P$2:$P$226,0),24))),AH13,IF(ISERROR(INDEX(Results!$B$2:$AA$226,MATCH(RankPoints!AH$4&amp;RankPoints!$B13,Results!$P$2:$P$226,0),24)),INDEX(Results!$B$2:$AA$226,MATCH(RankPoints!AH$4&amp;RankPoints!$B13,Results!$Q$2:$Q$226,0),25),INDEX(Results!$B$2:$AA$226,MATCH(RankPoints!AH$4&amp;RankPoints!$B13,Results!$P$2:$P$226,0),24)))</f>
        <v>1500</v>
      </c>
      <c r="AI14" s="50">
        <f>IF(ISERROR(IF(ISERROR(INDEX(Results!$B$2:$AA$226,MATCH(RankPoints!AI$4&amp;RankPoints!$B13,Results!$P$2:$P$226,0),24)),INDEX(Results!$B$2:$AA$226,MATCH(RankPoints!AI$4&amp;RankPoints!$B13,Results!$Q$2:$Q$226,0),25),INDEX(Results!$B$2:$AA$226,MATCH(RankPoints!AI$4&amp;RankPoints!$B13,Results!$P$2:$P$226,0),24))),AI13,IF(ISERROR(INDEX(Results!$B$2:$AA$226,MATCH(RankPoints!AI$4&amp;RankPoints!$B13,Results!$P$2:$P$226,0),24)),INDEX(Results!$B$2:$AA$226,MATCH(RankPoints!AI$4&amp;RankPoints!$B13,Results!$Q$2:$Q$226,0),25),INDEX(Results!$B$2:$AA$226,MATCH(RankPoints!AI$4&amp;RankPoints!$B13,Results!$P$2:$P$226,0),24)))</f>
        <v>1500</v>
      </c>
      <c r="AJ14" s="106">
        <f>IF(ISERROR(IF(ISERROR(INDEX(Results!$B$2:$AA$226,MATCH(RankPoints!AJ$4&amp;RankPoints!$B13,Results!$P$2:$P$226,0),24)),INDEX(Results!$B$2:$AA$226,MATCH(RankPoints!AJ$4&amp;RankPoints!$B13,Results!$Q$2:$Q$226,0),25),INDEX(Results!$B$2:$AA$226,MATCH(RankPoints!AJ$4&amp;RankPoints!$B13,Results!$P$2:$P$226,0),24))),AJ13,IF(ISERROR(INDEX(Results!$B$2:$AA$226,MATCH(RankPoints!AJ$4&amp;RankPoints!$B13,Results!$P$2:$P$226,0),24)),INDEX(Results!$B$2:$AA$226,MATCH(RankPoints!AJ$4&amp;RankPoints!$B13,Results!$Q$2:$Q$226,0),25),INDEX(Results!$B$2:$AA$226,MATCH(RankPoints!AJ$4&amp;RankPoints!$B13,Results!$P$2:$P$226,0),24)))</f>
        <v>1493</v>
      </c>
      <c r="AK14" s="107">
        <f>IF(ISERROR(IF(ISERROR(INDEX(Results!$B$2:$AA$226,MATCH(RankPoints!AK$4&amp;RankPoints!$B13,Results!$P$2:$P$226,0),24)),INDEX(Results!$B$2:$AA$226,MATCH(RankPoints!AK$4&amp;RankPoints!$B13,Results!$Q$2:$Q$226,0),25),INDEX(Results!$B$2:$AA$226,MATCH(RankPoints!AK$4&amp;RankPoints!$B13,Results!$P$2:$P$226,0),24))),AK13,IF(ISERROR(INDEX(Results!$B$2:$AA$226,MATCH(RankPoints!AK$4&amp;RankPoints!$B13,Results!$P$2:$P$226,0),24)),INDEX(Results!$B$2:$AA$226,MATCH(RankPoints!AK$4&amp;RankPoints!$B13,Results!$Q$2:$Q$226,0),25),INDEX(Results!$B$2:$AA$226,MATCH(RankPoints!AK$4&amp;RankPoints!$B13,Results!$P$2:$P$226,0),24)))</f>
        <v>799</v>
      </c>
    </row>
    <row r="15" spans="2:37" ht="12.75">
      <c r="B15" s="114">
        <f t="shared" si="0"/>
        <v>11</v>
      </c>
      <c r="C15" s="104">
        <f>IF(ISERROR(IF(ISERROR(INDEX(Results!$B$2:$AA$226,MATCH(RankPoints!C$4&amp;RankPoints!$B14,Results!$P$2:$P$226,0),24)),INDEX(Results!$B$2:$AA$226,MATCH(RankPoints!C$4&amp;RankPoints!$B14,Results!$Q$2:$Q$226,0),25),INDEX(Results!$B$2:$AA$226,MATCH(RankPoints!C$4&amp;RankPoints!$B14,Results!$P$2:$P$226,0),24))),C14,IF(ISERROR(INDEX(Results!$B$2:$AA$226,MATCH(RankPoints!C$4&amp;RankPoints!$B14,Results!$P$2:$P$226,0),24)),INDEX(Results!$B$2:$AA$226,MATCH(RankPoints!C$4&amp;RankPoints!$B14,Results!$Q$2:$Q$226,0),25),INDEX(Results!$B$2:$AA$226,MATCH(RankPoints!C$4&amp;RankPoints!$B14,Results!$P$2:$P$226,0),24)))</f>
        <v>1500</v>
      </c>
      <c r="D15" s="106">
        <f>IF(ISERROR(IF(ISERROR(INDEX(Results!$B$2:$AA$226,MATCH(RankPoints!D$4&amp;RankPoints!$B14,Results!$P$2:$P$226,0),24)),INDEX(Results!$B$2:$AA$226,MATCH(RankPoints!D$4&amp;RankPoints!$B14,Results!$Q$2:$Q$226,0),25),INDEX(Results!$B$2:$AA$226,MATCH(RankPoints!D$4&amp;RankPoints!$B14,Results!$P$2:$P$226,0),24))),D14,IF(ISERROR(INDEX(Results!$B$2:$AA$226,MATCH(RankPoints!D$4&amp;RankPoints!$B14,Results!$P$2:$P$226,0),24)),INDEX(Results!$B$2:$AA$226,MATCH(RankPoints!D$4&amp;RankPoints!$B14,Results!$Q$2:$Q$226,0),25),INDEX(Results!$B$2:$AA$226,MATCH(RankPoints!D$4&amp;RankPoints!$B14,Results!$P$2:$P$226,0),24)))</f>
        <v>1516</v>
      </c>
      <c r="E15" s="106">
        <f>IF(ISERROR(IF(ISERROR(INDEX(Results!$B$2:$AA$226,MATCH(RankPoints!E$4&amp;RankPoints!$B14,Results!$P$2:$P$226,0),24)),INDEX(Results!$B$2:$AA$226,MATCH(RankPoints!E$4&amp;RankPoints!$B14,Results!$Q$2:$Q$226,0),25),INDEX(Results!$B$2:$AA$226,MATCH(RankPoints!E$4&amp;RankPoints!$B14,Results!$P$2:$P$226,0),24))),E14,IF(ISERROR(INDEX(Results!$B$2:$AA$226,MATCH(RankPoints!E$4&amp;RankPoints!$B14,Results!$P$2:$P$226,0),24)),INDEX(Results!$B$2:$AA$226,MATCH(RankPoints!E$4&amp;RankPoints!$B14,Results!$Q$2:$Q$226,0),25),INDEX(Results!$B$2:$AA$226,MATCH(RankPoints!E$4&amp;RankPoints!$B14,Results!$P$2:$P$226,0),24)))</f>
        <v>1731</v>
      </c>
      <c r="F15" s="50">
        <f>IF(ISERROR(IF(ISERROR(INDEX(Results!$B$2:$AA$226,MATCH(RankPoints!F$4&amp;RankPoints!$B14,Results!$P$2:$P$226,0),24)),INDEX(Results!$B$2:$AA$226,MATCH(RankPoints!F$4&amp;RankPoints!$B14,Results!$Q$2:$Q$226,0),25),INDEX(Results!$B$2:$AA$226,MATCH(RankPoints!F$4&amp;RankPoints!$B14,Results!$P$2:$P$226,0),24))),F14,IF(ISERROR(INDEX(Results!$B$2:$AA$226,MATCH(RankPoints!F$4&amp;RankPoints!$B14,Results!$P$2:$P$226,0),24)),INDEX(Results!$B$2:$AA$226,MATCH(RankPoints!F$4&amp;RankPoints!$B14,Results!$Q$2:$Q$226,0),25),INDEX(Results!$B$2:$AA$226,MATCH(RankPoints!F$4&amp;RankPoints!$B14,Results!$P$2:$P$226,0),24)))</f>
        <v>1500</v>
      </c>
      <c r="G15" s="50">
        <f>IF(ISERROR(IF(ISERROR(INDEX(Results!$B$2:$AA$226,MATCH(RankPoints!G$4&amp;RankPoints!$B14,Results!$P$2:$P$226,0),24)),INDEX(Results!$B$2:$AA$226,MATCH(RankPoints!G$4&amp;RankPoints!$B14,Results!$Q$2:$Q$226,0),25),INDEX(Results!$B$2:$AA$226,MATCH(RankPoints!G$4&amp;RankPoints!$B14,Results!$P$2:$P$226,0),24))),G14,IF(ISERROR(INDEX(Results!$B$2:$AA$226,MATCH(RankPoints!G$4&amp;RankPoints!$B14,Results!$P$2:$P$226,0),24)),INDEX(Results!$B$2:$AA$226,MATCH(RankPoints!G$4&amp;RankPoints!$B14,Results!$Q$2:$Q$226,0),25),INDEX(Results!$B$2:$AA$226,MATCH(RankPoints!G$4&amp;RankPoints!$B14,Results!$P$2:$P$226,0),24)))</f>
        <v>0</v>
      </c>
      <c r="H15" s="50">
        <f>IF(ISERROR(IF(ISERROR(INDEX(Results!$B$2:$AA$226,MATCH(RankPoints!H$4&amp;RankPoints!$B14,Results!$P$2:$P$226,0),24)),INDEX(Results!$B$2:$AA$226,MATCH(RankPoints!H$4&amp;RankPoints!$B14,Results!$Q$2:$Q$226,0),25),INDEX(Results!$B$2:$AA$226,MATCH(RankPoints!H$4&amp;RankPoints!$B14,Results!$P$2:$P$226,0),24))),H14,IF(ISERROR(INDEX(Results!$B$2:$AA$226,MATCH(RankPoints!H$4&amp;RankPoints!$B14,Results!$P$2:$P$226,0),24)),INDEX(Results!$B$2:$AA$226,MATCH(RankPoints!H$4&amp;RankPoints!$B14,Results!$Q$2:$Q$226,0),25),INDEX(Results!$B$2:$AA$226,MATCH(RankPoints!H$4&amp;RankPoints!$B14,Results!$P$2:$P$226,0),24)))</f>
        <v>1651</v>
      </c>
      <c r="I15" s="105">
        <f>IF(ISERROR(IF(ISERROR(INDEX(Results!$B$2:$AA$226,MATCH(RankPoints!I$4&amp;RankPoints!$B14,Results!$P$2:$P$226,0),24)),INDEX(Results!$B$2:$AA$226,MATCH(RankPoints!I$4&amp;RankPoints!$B14,Results!$Q$2:$Q$226,0),25),INDEX(Results!$B$2:$AA$226,MATCH(RankPoints!I$4&amp;RankPoints!$B14,Results!$P$2:$P$226,0),24))),I14,IF(ISERROR(INDEX(Results!$B$2:$AA$226,MATCH(RankPoints!I$4&amp;RankPoints!$B14,Results!$P$2:$P$226,0),24)),INDEX(Results!$B$2:$AA$226,MATCH(RankPoints!I$4&amp;RankPoints!$B14,Results!$Q$2:$Q$226,0),25),INDEX(Results!$B$2:$AA$226,MATCH(RankPoints!I$4&amp;RankPoints!$B14,Results!$P$2:$P$226,0),24)))</f>
        <v>1500</v>
      </c>
      <c r="J15" s="106">
        <f>IF(ISERROR(IF(ISERROR(INDEX(Results!$B$2:$AA$226,MATCH(RankPoints!J$4&amp;RankPoints!$B14,Results!$P$2:$P$226,0),24)),INDEX(Results!$B$2:$AA$226,MATCH(RankPoints!J$4&amp;RankPoints!$B14,Results!$Q$2:$Q$226,0),25),INDEX(Results!$B$2:$AA$226,MATCH(RankPoints!J$4&amp;RankPoints!$B14,Results!$P$2:$P$226,0),24))),J14,IF(ISERROR(INDEX(Results!$B$2:$AA$226,MATCH(RankPoints!J$4&amp;RankPoints!$B14,Results!$P$2:$P$226,0),24)),INDEX(Results!$B$2:$AA$226,MATCH(RankPoints!J$4&amp;RankPoints!$B14,Results!$Q$2:$Q$226,0),25),INDEX(Results!$B$2:$AA$226,MATCH(RankPoints!J$4&amp;RankPoints!$B14,Results!$P$2:$P$226,0),24)))</f>
        <v>2635</v>
      </c>
      <c r="K15" s="50">
        <f>IF(ISERROR(IF(ISERROR(INDEX(Results!$B$2:$AA$226,MATCH(RankPoints!K$4&amp;RankPoints!$B14,Results!$P$2:$P$226,0),24)),INDEX(Results!$B$2:$AA$226,MATCH(RankPoints!K$4&amp;RankPoints!$B14,Results!$Q$2:$Q$226,0),25),INDEX(Results!$B$2:$AA$226,MATCH(RankPoints!K$4&amp;RankPoints!$B14,Results!$P$2:$P$226,0),24))),K14,IF(ISERROR(INDEX(Results!$B$2:$AA$226,MATCH(RankPoints!K$4&amp;RankPoints!$B14,Results!$P$2:$P$226,0),24)),INDEX(Results!$B$2:$AA$226,MATCH(RankPoints!K$4&amp;RankPoints!$B14,Results!$Q$2:$Q$226,0),25),INDEX(Results!$B$2:$AA$226,MATCH(RankPoints!K$4&amp;RankPoints!$B14,Results!$P$2:$P$226,0),24)))</f>
        <v>1500</v>
      </c>
      <c r="L15" s="50">
        <f>IF(ISERROR(IF(ISERROR(INDEX(Results!$B$2:$AA$226,MATCH(RankPoints!L$4&amp;RankPoints!$B14,Results!$P$2:$P$226,0),24)),INDEX(Results!$B$2:$AA$226,MATCH(RankPoints!L$4&amp;RankPoints!$B14,Results!$Q$2:$Q$226,0),25),INDEX(Results!$B$2:$AA$226,MATCH(RankPoints!L$4&amp;RankPoints!$B14,Results!$P$2:$P$226,0),24))),L14,IF(ISERROR(INDEX(Results!$B$2:$AA$226,MATCH(RankPoints!L$4&amp;RankPoints!$B14,Results!$P$2:$P$226,0),24)),INDEX(Results!$B$2:$AA$226,MATCH(RankPoints!L$4&amp;RankPoints!$B14,Results!$Q$2:$Q$226,0),25),INDEX(Results!$B$2:$AA$226,MATCH(RankPoints!L$4&amp;RankPoints!$B14,Results!$P$2:$P$226,0),24)))</f>
        <v>1500</v>
      </c>
      <c r="M15" s="106">
        <f>IF(ISERROR(IF(ISERROR(INDEX(Results!$B$2:$AA$226,MATCH(RankPoints!M$4&amp;RankPoints!$B14,Results!$P$2:$P$226,0),24)),INDEX(Results!$B$2:$AA$226,MATCH(RankPoints!M$4&amp;RankPoints!$B14,Results!$Q$2:$Q$226,0),25),INDEX(Results!$B$2:$AA$226,MATCH(RankPoints!M$4&amp;RankPoints!$B14,Results!$P$2:$P$226,0),24))),M14,IF(ISERROR(INDEX(Results!$B$2:$AA$226,MATCH(RankPoints!M$4&amp;RankPoints!$B14,Results!$P$2:$P$226,0),24)),INDEX(Results!$B$2:$AA$226,MATCH(RankPoints!M$4&amp;RankPoints!$B14,Results!$Q$2:$Q$226,0),25),INDEX(Results!$B$2:$AA$226,MATCH(RankPoints!M$4&amp;RankPoints!$B14,Results!$P$2:$P$226,0),24)))</f>
        <v>-1287</v>
      </c>
      <c r="N15" s="106">
        <f>IF(ISERROR(IF(ISERROR(INDEX(Results!$B$2:$AA$226,MATCH(RankPoints!N$4&amp;RankPoints!$B14,Results!$P$2:$P$226,0),24)),INDEX(Results!$B$2:$AA$226,MATCH(RankPoints!N$4&amp;RankPoints!$B14,Results!$Q$2:$Q$226,0),25),INDEX(Results!$B$2:$AA$226,MATCH(RankPoints!N$4&amp;RankPoints!$B14,Results!$P$2:$P$226,0),24))),N14,IF(ISERROR(INDEX(Results!$B$2:$AA$226,MATCH(RankPoints!N$4&amp;RankPoints!$B14,Results!$P$2:$P$226,0),24)),INDEX(Results!$B$2:$AA$226,MATCH(RankPoints!N$4&amp;RankPoints!$B14,Results!$Q$2:$Q$226,0),25),INDEX(Results!$B$2:$AA$226,MATCH(RankPoints!N$4&amp;RankPoints!$B14,Results!$P$2:$P$226,0),24)))</f>
        <v>2850</v>
      </c>
      <c r="O15" s="50">
        <f>IF(ISERROR(IF(ISERROR(INDEX(Results!$B$2:$AA$226,MATCH(RankPoints!O$4&amp;RankPoints!$B14,Results!$P$2:$P$226,0),24)),INDEX(Results!$B$2:$AA$226,MATCH(RankPoints!O$4&amp;RankPoints!$B14,Results!$Q$2:$Q$226,0),25),INDEX(Results!$B$2:$AA$226,MATCH(RankPoints!O$4&amp;RankPoints!$B14,Results!$P$2:$P$226,0),24))),O14,IF(ISERROR(INDEX(Results!$B$2:$AA$226,MATCH(RankPoints!O$4&amp;RankPoints!$B14,Results!$P$2:$P$226,0),24)),INDEX(Results!$B$2:$AA$226,MATCH(RankPoints!O$4&amp;RankPoints!$B14,Results!$Q$2:$Q$226,0),25),INDEX(Results!$B$2:$AA$226,MATCH(RankPoints!O$4&amp;RankPoints!$B14,Results!$P$2:$P$226,0),24)))</f>
        <v>1500</v>
      </c>
      <c r="P15" s="105">
        <f>IF(ISERROR(IF(ISERROR(INDEX(Results!$B$2:$AA$226,MATCH(RankPoints!P$4&amp;RankPoints!$B14,Results!$P$2:$P$226,0),24)),INDEX(Results!$B$2:$AA$226,MATCH(RankPoints!P$4&amp;RankPoints!$B14,Results!$Q$2:$Q$226,0),25),INDEX(Results!$B$2:$AA$226,MATCH(RankPoints!P$4&amp;RankPoints!$B14,Results!$P$2:$P$226,0),24))),P14,IF(ISERROR(INDEX(Results!$B$2:$AA$226,MATCH(RankPoints!P$4&amp;RankPoints!$B14,Results!$P$2:$P$226,0),24)),INDEX(Results!$B$2:$AA$226,MATCH(RankPoints!P$4&amp;RankPoints!$B14,Results!$Q$2:$Q$226,0),25),INDEX(Results!$B$2:$AA$226,MATCH(RankPoints!P$4&amp;RankPoints!$B14,Results!$P$2:$P$226,0),24)))</f>
        <v>1500</v>
      </c>
      <c r="Q15" s="50">
        <f>IF(ISERROR(IF(ISERROR(INDEX(Results!$B$2:$AA$226,MATCH(RankPoints!Q$4&amp;RankPoints!$B14,Results!$P$2:$P$226,0),24)),INDEX(Results!$B$2:$AA$226,MATCH(RankPoints!Q$4&amp;RankPoints!$B14,Results!$Q$2:$Q$226,0),25),INDEX(Results!$B$2:$AA$226,MATCH(RankPoints!Q$4&amp;RankPoints!$B14,Results!$P$2:$P$226,0),24))),Q14,IF(ISERROR(INDEX(Results!$B$2:$AA$226,MATCH(RankPoints!Q$4&amp;RankPoints!$B14,Results!$P$2:$P$226,0),24)),INDEX(Results!$B$2:$AA$226,MATCH(RankPoints!Q$4&amp;RankPoints!$B14,Results!$Q$2:$Q$226,0),25),INDEX(Results!$B$2:$AA$226,MATCH(RankPoints!Q$4&amp;RankPoints!$B14,Results!$P$2:$P$226,0),24)))</f>
        <v>1500</v>
      </c>
      <c r="R15" s="50">
        <f>IF(ISERROR(IF(ISERROR(INDEX(Results!$B$2:$AA$226,MATCH(RankPoints!R$4&amp;RankPoints!$B14,Results!$P$2:$P$226,0),24)),INDEX(Results!$B$2:$AA$226,MATCH(RankPoints!R$4&amp;RankPoints!$B14,Results!$Q$2:$Q$226,0),25),INDEX(Results!$B$2:$AA$226,MATCH(RankPoints!R$4&amp;RankPoints!$B14,Results!$P$2:$P$226,0),24))),R14,IF(ISERROR(INDEX(Results!$B$2:$AA$226,MATCH(RankPoints!R$4&amp;RankPoints!$B14,Results!$P$2:$P$226,0),24)),INDEX(Results!$B$2:$AA$226,MATCH(RankPoints!R$4&amp;RankPoints!$B14,Results!$Q$2:$Q$226,0),25),INDEX(Results!$B$2:$AA$226,MATCH(RankPoints!R$4&amp;RankPoints!$B14,Results!$P$2:$P$226,0),24)))</f>
        <v>1500</v>
      </c>
      <c r="S15" s="50">
        <f>IF(ISERROR(IF(ISERROR(INDEX(Results!$B$2:$AA$226,MATCH(RankPoints!S$4&amp;RankPoints!$B14,Results!$P$2:$P$226,0),24)),INDEX(Results!$B$2:$AA$226,MATCH(RankPoints!S$4&amp;RankPoints!$B14,Results!$Q$2:$Q$226,0),25),INDEX(Results!$B$2:$AA$226,MATCH(RankPoints!S$4&amp;RankPoints!$B14,Results!$P$2:$P$226,0),24))),S14,IF(ISERROR(INDEX(Results!$B$2:$AA$226,MATCH(RankPoints!S$4&amp;RankPoints!$B14,Results!$P$2:$P$226,0),24)),INDEX(Results!$B$2:$AA$226,MATCH(RankPoints!S$4&amp;RankPoints!$B14,Results!$Q$2:$Q$226,0),25),INDEX(Results!$B$2:$AA$226,MATCH(RankPoints!S$4&amp;RankPoints!$B14,Results!$P$2:$P$226,0),24)))</f>
        <v>-1516</v>
      </c>
      <c r="T15" s="50">
        <f>IF(ISERROR(IF(ISERROR(INDEX(Results!$B$2:$AA$226,MATCH(RankPoints!T$4&amp;RankPoints!$B14,Results!$P$2:$P$226,0),24)),INDEX(Results!$B$2:$AA$226,MATCH(RankPoints!T$4&amp;RankPoints!$B14,Results!$Q$2:$Q$226,0),25),INDEX(Results!$B$2:$AA$226,MATCH(RankPoints!T$4&amp;RankPoints!$B14,Results!$P$2:$P$226,0),24))),T14,IF(ISERROR(INDEX(Results!$B$2:$AA$226,MATCH(RankPoints!T$4&amp;RankPoints!$B14,Results!$P$2:$P$226,0),24)),INDEX(Results!$B$2:$AA$226,MATCH(RankPoints!T$4&amp;RankPoints!$B14,Results!$Q$2:$Q$226,0),25),INDEX(Results!$B$2:$AA$226,MATCH(RankPoints!T$4&amp;RankPoints!$B14,Results!$P$2:$P$226,0),24)))</f>
        <v>1500</v>
      </c>
      <c r="U15" s="50">
        <f>IF(ISERROR(IF(ISERROR(INDEX(Results!$B$2:$AA$226,MATCH(RankPoints!U$4&amp;RankPoints!$B14,Results!$P$2:$P$226,0),24)),INDEX(Results!$B$2:$AA$226,MATCH(RankPoints!U$4&amp;RankPoints!$B14,Results!$Q$2:$Q$226,0),25),INDEX(Results!$B$2:$AA$226,MATCH(RankPoints!U$4&amp;RankPoints!$B14,Results!$P$2:$P$226,0),24))),U14,IF(ISERROR(INDEX(Results!$B$2:$AA$226,MATCH(RankPoints!U$4&amp;RankPoints!$B14,Results!$P$2:$P$226,0),24)),INDEX(Results!$B$2:$AA$226,MATCH(RankPoints!U$4&amp;RankPoints!$B14,Results!$Q$2:$Q$226,0),25),INDEX(Results!$B$2:$AA$226,MATCH(RankPoints!U$4&amp;RankPoints!$B14,Results!$P$2:$P$226,0),24)))</f>
        <v>1500</v>
      </c>
      <c r="V15" s="50">
        <f>IF(ISERROR(IF(ISERROR(INDEX(Results!$B$2:$AA$226,MATCH(RankPoints!V$4&amp;RankPoints!$B14,Results!$P$2:$P$226,0),24)),INDEX(Results!$B$2:$AA$226,MATCH(RankPoints!V$4&amp;RankPoints!$B14,Results!$Q$2:$Q$226,0),25),INDEX(Results!$B$2:$AA$226,MATCH(RankPoints!V$4&amp;RankPoints!$B14,Results!$P$2:$P$226,0),24))),V14,IF(ISERROR(INDEX(Results!$B$2:$AA$226,MATCH(RankPoints!V$4&amp;RankPoints!$B14,Results!$P$2:$P$226,0),24)),INDEX(Results!$B$2:$AA$226,MATCH(RankPoints!V$4&amp;RankPoints!$B14,Results!$Q$2:$Q$226,0),25),INDEX(Results!$B$2:$AA$226,MATCH(RankPoints!V$4&amp;RankPoints!$B14,Results!$P$2:$P$226,0),24)))</f>
        <v>1516</v>
      </c>
      <c r="W15" s="105">
        <f>IF(ISERROR(IF(ISERROR(INDEX(Results!$B$2:$AA$226,MATCH(RankPoints!W$4&amp;RankPoints!$B14,Results!$P$2:$P$226,0),24)),INDEX(Results!$B$2:$AA$226,MATCH(RankPoints!W$4&amp;RankPoints!$B14,Results!$Q$2:$Q$226,0),25),INDEX(Results!$B$2:$AA$226,MATCH(RankPoints!W$4&amp;RankPoints!$B14,Results!$P$2:$P$226,0),24))),W14,IF(ISERROR(INDEX(Results!$B$2:$AA$226,MATCH(RankPoints!W$4&amp;RankPoints!$B14,Results!$P$2:$P$226,0),24)),INDEX(Results!$B$2:$AA$226,MATCH(RankPoints!W$4&amp;RankPoints!$B14,Results!$Q$2:$Q$226,0),25),INDEX(Results!$B$2:$AA$226,MATCH(RankPoints!W$4&amp;RankPoints!$B14,Results!$P$2:$P$226,0),24)))</f>
        <v>1500</v>
      </c>
      <c r="X15" s="106">
        <f>IF(ISERROR(IF(ISERROR(INDEX(Results!$B$2:$AA$226,MATCH(RankPoints!X$4&amp;RankPoints!$B14,Results!$P$2:$P$226,0),24)),INDEX(Results!$B$2:$AA$226,MATCH(RankPoints!X$4&amp;RankPoints!$B14,Results!$Q$2:$Q$226,0),25),INDEX(Results!$B$2:$AA$226,MATCH(RankPoints!X$4&amp;RankPoints!$B14,Results!$P$2:$P$226,0),24))),X14,IF(ISERROR(INDEX(Results!$B$2:$AA$226,MATCH(RankPoints!X$4&amp;RankPoints!$B14,Results!$P$2:$P$226,0),24)),INDEX(Results!$B$2:$AA$226,MATCH(RankPoints!X$4&amp;RankPoints!$B14,Results!$Q$2:$Q$226,0),25),INDEX(Results!$B$2:$AA$226,MATCH(RankPoints!X$4&amp;RankPoints!$B14,Results!$P$2:$P$226,0),24)))</f>
        <v>-104</v>
      </c>
      <c r="Y15" s="50">
        <f>IF(ISERROR(IF(ISERROR(INDEX(Results!$B$2:$AA$226,MATCH(RankPoints!Y$4&amp;RankPoints!$B14,Results!$P$2:$P$226,0),24)),INDEX(Results!$B$2:$AA$226,MATCH(RankPoints!Y$4&amp;RankPoints!$B14,Results!$Q$2:$Q$226,0),25),INDEX(Results!$B$2:$AA$226,MATCH(RankPoints!Y$4&amp;RankPoints!$B14,Results!$P$2:$P$226,0),24))),Y14,IF(ISERROR(INDEX(Results!$B$2:$AA$226,MATCH(RankPoints!Y$4&amp;RankPoints!$B14,Results!$P$2:$P$226,0),24)),INDEX(Results!$B$2:$AA$226,MATCH(RankPoints!Y$4&amp;RankPoints!$B14,Results!$Q$2:$Q$226,0),25),INDEX(Results!$B$2:$AA$226,MATCH(RankPoints!Y$4&amp;RankPoints!$B14,Results!$P$2:$P$226,0),24)))</f>
        <v>3212</v>
      </c>
      <c r="Z15" s="50">
        <f>IF(ISERROR(IF(ISERROR(INDEX(Results!$B$2:$AA$226,MATCH(RankPoints!Z$4&amp;RankPoints!$B14,Results!$P$2:$P$226,0),24)),INDEX(Results!$B$2:$AA$226,MATCH(RankPoints!Z$4&amp;RankPoints!$B14,Results!$Q$2:$Q$226,0),25),INDEX(Results!$B$2:$AA$226,MATCH(RankPoints!Z$4&amp;RankPoints!$B14,Results!$P$2:$P$226,0),24))),Z14,IF(ISERROR(INDEX(Results!$B$2:$AA$226,MATCH(RankPoints!Z$4&amp;RankPoints!$B14,Results!$P$2:$P$226,0),24)),INDEX(Results!$B$2:$AA$226,MATCH(RankPoints!Z$4&amp;RankPoints!$B14,Results!$Q$2:$Q$226,0),25),INDEX(Results!$B$2:$AA$226,MATCH(RankPoints!Z$4&amp;RankPoints!$B14,Results!$P$2:$P$226,0),24)))</f>
        <v>-2972</v>
      </c>
      <c r="AA15" s="50">
        <f>IF(ISERROR(IF(ISERROR(INDEX(Results!$B$2:$AA$226,MATCH(RankPoints!AA$4&amp;RankPoints!$B14,Results!$P$2:$P$226,0),24)),INDEX(Results!$B$2:$AA$226,MATCH(RankPoints!AA$4&amp;RankPoints!$B14,Results!$Q$2:$Q$226,0),25),INDEX(Results!$B$2:$AA$226,MATCH(RankPoints!AA$4&amp;RankPoints!$B14,Results!$P$2:$P$226,0),24))),AA14,IF(ISERROR(INDEX(Results!$B$2:$AA$226,MATCH(RankPoints!AA$4&amp;RankPoints!$B14,Results!$P$2:$P$226,0),24)),INDEX(Results!$B$2:$AA$226,MATCH(RankPoints!AA$4&amp;RankPoints!$B14,Results!$Q$2:$Q$226,0),25),INDEX(Results!$B$2:$AA$226,MATCH(RankPoints!AA$4&amp;RankPoints!$B14,Results!$P$2:$P$226,0),24)))</f>
        <v>1500</v>
      </c>
      <c r="AB15" s="106">
        <f>IF(ISERROR(IF(ISERROR(INDEX(Results!$B$2:$AA$226,MATCH(RankPoints!AB$4&amp;RankPoints!$B14,Results!$P$2:$P$226,0),24)),INDEX(Results!$B$2:$AA$226,MATCH(RankPoints!AB$4&amp;RankPoints!$B14,Results!$Q$2:$Q$226,0),25),INDEX(Results!$B$2:$AA$226,MATCH(RankPoints!AB$4&amp;RankPoints!$B14,Results!$P$2:$P$226,0),24))),AB14,IF(ISERROR(INDEX(Results!$B$2:$AA$226,MATCH(RankPoints!AB$4&amp;RankPoints!$B14,Results!$P$2:$P$226,0),24)),INDEX(Results!$B$2:$AA$226,MATCH(RankPoints!AB$4&amp;RankPoints!$B14,Results!$Q$2:$Q$226,0),25),INDEX(Results!$B$2:$AA$226,MATCH(RankPoints!AB$4&amp;RankPoints!$B14,Results!$P$2:$P$226,0),24)))</f>
        <v>-3093</v>
      </c>
      <c r="AC15" s="50">
        <f>IF(ISERROR(IF(ISERROR(INDEX(Results!$B$2:$AA$226,MATCH(RankPoints!AC$4&amp;RankPoints!$B14,Results!$P$2:$P$226,0),24)),INDEX(Results!$B$2:$AA$226,MATCH(RankPoints!AC$4&amp;RankPoints!$B14,Results!$Q$2:$Q$226,0),25),INDEX(Results!$B$2:$AA$226,MATCH(RankPoints!AC$4&amp;RankPoints!$B14,Results!$P$2:$P$226,0),24))),AC14,IF(ISERROR(INDEX(Results!$B$2:$AA$226,MATCH(RankPoints!AC$4&amp;RankPoints!$B14,Results!$P$2:$P$226,0),24)),INDEX(Results!$B$2:$AA$226,MATCH(RankPoints!AC$4&amp;RankPoints!$B14,Results!$Q$2:$Q$226,0),25),INDEX(Results!$B$2:$AA$226,MATCH(RankPoints!AC$4&amp;RankPoints!$B14,Results!$P$2:$P$226,0),24)))</f>
        <v>1500</v>
      </c>
      <c r="AD15" s="107">
        <f>IF(ISERROR(IF(ISERROR(INDEX(Results!$B$2:$AA$226,MATCH(RankPoints!AD$4&amp;RankPoints!$B14,Results!$P$2:$P$226,0),24)),INDEX(Results!$B$2:$AA$226,MATCH(RankPoints!AD$4&amp;RankPoints!$B14,Results!$Q$2:$Q$226,0),25),INDEX(Results!$B$2:$AA$226,MATCH(RankPoints!AD$4&amp;RankPoints!$B14,Results!$P$2:$P$226,0),24))),AD14,IF(ISERROR(INDEX(Results!$B$2:$AA$226,MATCH(RankPoints!AD$4&amp;RankPoints!$B14,Results!$P$2:$P$226,0),24)),INDEX(Results!$B$2:$AA$226,MATCH(RankPoints!AD$4&amp;RankPoints!$B14,Results!$Q$2:$Q$226,0),25),INDEX(Results!$B$2:$AA$226,MATCH(RankPoints!AD$4&amp;RankPoints!$B14,Results!$P$2:$P$226,0),24)))</f>
        <v>1583</v>
      </c>
      <c r="AE15" s="106">
        <f>IF(ISERROR(IF(ISERROR(INDEX(Results!$B$2:$AA$226,MATCH(RankPoints!AE$4&amp;RankPoints!$B14,Results!$P$2:$P$226,0),24)),INDEX(Results!$B$2:$AA$226,MATCH(RankPoints!AE$4&amp;RankPoints!$B14,Results!$Q$2:$Q$226,0),25),INDEX(Results!$B$2:$AA$226,MATCH(RankPoints!AE$4&amp;RankPoints!$B14,Results!$P$2:$P$226,0),24))),AE14,IF(ISERROR(INDEX(Results!$B$2:$AA$226,MATCH(RankPoints!AE$4&amp;RankPoints!$B14,Results!$P$2:$P$226,0),24)),INDEX(Results!$B$2:$AA$226,MATCH(RankPoints!AE$4&amp;RankPoints!$B14,Results!$Q$2:$Q$226,0),25),INDEX(Results!$B$2:$AA$226,MATCH(RankPoints!AE$4&amp;RankPoints!$B14,Results!$P$2:$P$226,0),24)))</f>
        <v>351</v>
      </c>
      <c r="AF15" s="106">
        <f>IF(ISERROR(IF(ISERROR(INDEX(Results!$B$2:$AA$226,MATCH(RankPoints!AF$4&amp;RankPoints!$B14,Results!$P$2:$P$226,0),24)),INDEX(Results!$B$2:$AA$226,MATCH(RankPoints!AF$4&amp;RankPoints!$B14,Results!$Q$2:$Q$226,0),25),INDEX(Results!$B$2:$AA$226,MATCH(RankPoints!AF$4&amp;RankPoints!$B14,Results!$P$2:$P$226,0),24))),AF14,IF(ISERROR(INDEX(Results!$B$2:$AA$226,MATCH(RankPoints!AF$4&amp;RankPoints!$B14,Results!$P$2:$P$226,0),24)),INDEX(Results!$B$2:$AA$226,MATCH(RankPoints!AF$4&amp;RankPoints!$B14,Results!$Q$2:$Q$226,0),25),INDEX(Results!$B$2:$AA$226,MATCH(RankPoints!AF$4&amp;RankPoints!$B14,Results!$P$2:$P$226,0),24)))</f>
        <v>1411</v>
      </c>
      <c r="AG15" s="50">
        <f>IF(ISERROR(IF(ISERROR(INDEX(Results!$B$2:$AA$226,MATCH(RankPoints!AG$4&amp;RankPoints!$B14,Results!$P$2:$P$226,0),24)),INDEX(Results!$B$2:$AA$226,MATCH(RankPoints!AG$4&amp;RankPoints!$B14,Results!$Q$2:$Q$226,0),25),INDEX(Results!$B$2:$AA$226,MATCH(RankPoints!AG$4&amp;RankPoints!$B14,Results!$P$2:$P$226,0),24))),AG14,IF(ISERROR(INDEX(Results!$B$2:$AA$226,MATCH(RankPoints!AG$4&amp;RankPoints!$B14,Results!$P$2:$P$226,0),24)),INDEX(Results!$B$2:$AA$226,MATCH(RankPoints!AG$4&amp;RankPoints!$B14,Results!$Q$2:$Q$226,0),25),INDEX(Results!$B$2:$AA$226,MATCH(RankPoints!AG$4&amp;RankPoints!$B14,Results!$P$2:$P$226,0),24)))</f>
        <v>326</v>
      </c>
      <c r="AH15" s="50">
        <f>IF(ISERROR(IF(ISERROR(INDEX(Results!$B$2:$AA$226,MATCH(RankPoints!AH$4&amp;RankPoints!$B14,Results!$P$2:$P$226,0),24)),INDEX(Results!$B$2:$AA$226,MATCH(RankPoints!AH$4&amp;RankPoints!$B14,Results!$Q$2:$Q$226,0),25),INDEX(Results!$B$2:$AA$226,MATCH(RankPoints!AH$4&amp;RankPoints!$B14,Results!$P$2:$P$226,0),24))),AH14,IF(ISERROR(INDEX(Results!$B$2:$AA$226,MATCH(RankPoints!AH$4&amp;RankPoints!$B14,Results!$P$2:$P$226,0),24)),INDEX(Results!$B$2:$AA$226,MATCH(RankPoints!AH$4&amp;RankPoints!$B14,Results!$Q$2:$Q$226,0),25),INDEX(Results!$B$2:$AA$226,MATCH(RankPoints!AH$4&amp;RankPoints!$B14,Results!$P$2:$P$226,0),24)))</f>
        <v>1500</v>
      </c>
      <c r="AI15" s="50">
        <f>IF(ISERROR(IF(ISERROR(INDEX(Results!$B$2:$AA$226,MATCH(RankPoints!AI$4&amp;RankPoints!$B14,Results!$P$2:$P$226,0),24)),INDEX(Results!$B$2:$AA$226,MATCH(RankPoints!AI$4&amp;RankPoints!$B14,Results!$Q$2:$Q$226,0),25),INDEX(Results!$B$2:$AA$226,MATCH(RankPoints!AI$4&amp;RankPoints!$B14,Results!$P$2:$P$226,0),24))),AI14,IF(ISERROR(INDEX(Results!$B$2:$AA$226,MATCH(RankPoints!AI$4&amp;RankPoints!$B14,Results!$P$2:$P$226,0),24)),INDEX(Results!$B$2:$AA$226,MATCH(RankPoints!AI$4&amp;RankPoints!$B14,Results!$Q$2:$Q$226,0),25),INDEX(Results!$B$2:$AA$226,MATCH(RankPoints!AI$4&amp;RankPoints!$B14,Results!$P$2:$P$226,0),24)))</f>
        <v>1500</v>
      </c>
      <c r="AJ15" s="106">
        <f>IF(ISERROR(IF(ISERROR(INDEX(Results!$B$2:$AA$226,MATCH(RankPoints!AJ$4&amp;RankPoints!$B14,Results!$P$2:$P$226,0),24)),INDEX(Results!$B$2:$AA$226,MATCH(RankPoints!AJ$4&amp;RankPoints!$B14,Results!$Q$2:$Q$226,0),25),INDEX(Results!$B$2:$AA$226,MATCH(RankPoints!AJ$4&amp;RankPoints!$B14,Results!$P$2:$P$226,0),24))),AJ14,IF(ISERROR(INDEX(Results!$B$2:$AA$226,MATCH(RankPoints!AJ$4&amp;RankPoints!$B14,Results!$P$2:$P$226,0),24)),INDEX(Results!$B$2:$AA$226,MATCH(RankPoints!AJ$4&amp;RankPoints!$B14,Results!$Q$2:$Q$226,0),25),INDEX(Results!$B$2:$AA$226,MATCH(RankPoints!AJ$4&amp;RankPoints!$B14,Results!$P$2:$P$226,0),24)))</f>
        <v>1493</v>
      </c>
      <c r="AK15" s="107">
        <f>IF(ISERROR(IF(ISERROR(INDEX(Results!$B$2:$AA$226,MATCH(RankPoints!AK$4&amp;RankPoints!$B14,Results!$P$2:$P$226,0),24)),INDEX(Results!$B$2:$AA$226,MATCH(RankPoints!AK$4&amp;RankPoints!$B14,Results!$Q$2:$Q$226,0),25),INDEX(Results!$B$2:$AA$226,MATCH(RankPoints!AK$4&amp;RankPoints!$B14,Results!$P$2:$P$226,0),24))),AK14,IF(ISERROR(INDEX(Results!$B$2:$AA$226,MATCH(RankPoints!AK$4&amp;RankPoints!$B14,Results!$P$2:$P$226,0),24)),INDEX(Results!$B$2:$AA$226,MATCH(RankPoints!AK$4&amp;RankPoints!$B14,Results!$Q$2:$Q$226,0),25),INDEX(Results!$B$2:$AA$226,MATCH(RankPoints!AK$4&amp;RankPoints!$B14,Results!$P$2:$P$226,0),24)))</f>
        <v>799</v>
      </c>
    </row>
    <row r="16" spans="2:37" ht="13.5" thickBot="1">
      <c r="B16" s="114">
        <f t="shared" si="0"/>
        <v>12</v>
      </c>
      <c r="C16" s="104">
        <f>IF(ISERROR(IF(ISERROR(INDEX(Results!$B$2:$AA$226,MATCH(RankPoints!C$4&amp;RankPoints!$B15,Results!$P$2:$P$226,0),24)),INDEX(Results!$B$2:$AA$226,MATCH(RankPoints!C$4&amp;RankPoints!$B15,Results!$Q$2:$Q$226,0),25),INDEX(Results!$B$2:$AA$226,MATCH(RankPoints!C$4&amp;RankPoints!$B15,Results!$P$2:$P$226,0),24))),C15,IF(ISERROR(INDEX(Results!$B$2:$AA$226,MATCH(RankPoints!C$4&amp;RankPoints!$B15,Results!$P$2:$P$226,0),24)),INDEX(Results!$B$2:$AA$226,MATCH(RankPoints!C$4&amp;RankPoints!$B15,Results!$Q$2:$Q$226,0),25),INDEX(Results!$B$2:$AA$226,MATCH(RankPoints!C$4&amp;RankPoints!$B15,Results!$P$2:$P$226,0),24)))</f>
        <v>1500</v>
      </c>
      <c r="D16" s="106">
        <f>IF(ISERROR(IF(ISERROR(INDEX(Results!$B$2:$AA$226,MATCH(RankPoints!D$4&amp;RankPoints!$B15,Results!$P$2:$P$226,0),24)),INDEX(Results!$B$2:$AA$226,MATCH(RankPoints!D$4&amp;RankPoints!$B15,Results!$Q$2:$Q$226,0),25),INDEX(Results!$B$2:$AA$226,MATCH(RankPoints!D$4&amp;RankPoints!$B15,Results!$P$2:$P$226,0),24))),D15,IF(ISERROR(INDEX(Results!$B$2:$AA$226,MATCH(RankPoints!D$4&amp;RankPoints!$B15,Results!$P$2:$P$226,0),24)),INDEX(Results!$B$2:$AA$226,MATCH(RankPoints!D$4&amp;RankPoints!$B15,Results!$Q$2:$Q$226,0),25),INDEX(Results!$B$2:$AA$226,MATCH(RankPoints!D$4&amp;RankPoints!$B15,Results!$P$2:$P$226,0),24)))</f>
        <v>1516</v>
      </c>
      <c r="E16" s="106">
        <f>IF(ISERROR(IF(ISERROR(INDEX(Results!$B$2:$AA$226,MATCH(RankPoints!E$4&amp;RankPoints!$B15,Results!$P$2:$P$226,0),24)),INDEX(Results!$B$2:$AA$226,MATCH(RankPoints!E$4&amp;RankPoints!$B15,Results!$Q$2:$Q$226,0),25),INDEX(Results!$B$2:$AA$226,MATCH(RankPoints!E$4&amp;RankPoints!$B15,Results!$P$2:$P$226,0),24))),E15,IF(ISERROR(INDEX(Results!$B$2:$AA$226,MATCH(RankPoints!E$4&amp;RankPoints!$B15,Results!$P$2:$P$226,0),24)),INDEX(Results!$B$2:$AA$226,MATCH(RankPoints!E$4&amp;RankPoints!$B15,Results!$Q$2:$Q$226,0),25),INDEX(Results!$B$2:$AA$226,MATCH(RankPoints!E$4&amp;RankPoints!$B15,Results!$P$2:$P$226,0),24)))</f>
        <v>1731</v>
      </c>
      <c r="F16" s="50">
        <f>IF(ISERROR(IF(ISERROR(INDEX(Results!$B$2:$AA$226,MATCH(RankPoints!F$4&amp;RankPoints!$B15,Results!$P$2:$P$226,0),24)),INDEX(Results!$B$2:$AA$226,MATCH(RankPoints!F$4&amp;RankPoints!$B15,Results!$Q$2:$Q$226,0),25),INDEX(Results!$B$2:$AA$226,MATCH(RankPoints!F$4&amp;RankPoints!$B15,Results!$P$2:$P$226,0),24))),F15,IF(ISERROR(INDEX(Results!$B$2:$AA$226,MATCH(RankPoints!F$4&amp;RankPoints!$B15,Results!$P$2:$P$226,0),24)),INDEX(Results!$B$2:$AA$226,MATCH(RankPoints!F$4&amp;RankPoints!$B15,Results!$Q$2:$Q$226,0),25),INDEX(Results!$B$2:$AA$226,MATCH(RankPoints!F$4&amp;RankPoints!$B15,Results!$P$2:$P$226,0),24)))</f>
        <v>1500</v>
      </c>
      <c r="G16" s="50">
        <f>IF(ISERROR(IF(ISERROR(INDEX(Results!$B$2:$AA$226,MATCH(RankPoints!G$4&amp;RankPoints!$B15,Results!$P$2:$P$226,0),24)),INDEX(Results!$B$2:$AA$226,MATCH(RankPoints!G$4&amp;RankPoints!$B15,Results!$Q$2:$Q$226,0),25),INDEX(Results!$B$2:$AA$226,MATCH(RankPoints!G$4&amp;RankPoints!$B15,Results!$P$2:$P$226,0),24))),G15,IF(ISERROR(INDEX(Results!$B$2:$AA$226,MATCH(RankPoints!G$4&amp;RankPoints!$B15,Results!$P$2:$P$226,0),24)),INDEX(Results!$B$2:$AA$226,MATCH(RankPoints!G$4&amp;RankPoints!$B15,Results!$Q$2:$Q$226,0),25),INDEX(Results!$B$2:$AA$226,MATCH(RankPoints!G$4&amp;RankPoints!$B15,Results!$P$2:$P$226,0),24)))</f>
        <v>0</v>
      </c>
      <c r="H16" s="50">
        <f>IF(ISERROR(IF(ISERROR(INDEX(Results!$B$2:$AA$226,MATCH(RankPoints!H$4&amp;RankPoints!$B15,Results!$P$2:$P$226,0),24)),INDEX(Results!$B$2:$AA$226,MATCH(RankPoints!H$4&amp;RankPoints!$B15,Results!$Q$2:$Q$226,0),25),INDEX(Results!$B$2:$AA$226,MATCH(RankPoints!H$4&amp;RankPoints!$B15,Results!$P$2:$P$226,0),24))),H15,IF(ISERROR(INDEX(Results!$B$2:$AA$226,MATCH(RankPoints!H$4&amp;RankPoints!$B15,Results!$P$2:$P$226,0),24)),INDEX(Results!$B$2:$AA$226,MATCH(RankPoints!H$4&amp;RankPoints!$B15,Results!$Q$2:$Q$226,0),25),INDEX(Results!$B$2:$AA$226,MATCH(RankPoints!H$4&amp;RankPoints!$B15,Results!$P$2:$P$226,0),24)))</f>
        <v>1651</v>
      </c>
      <c r="I16" s="105">
        <f>IF(ISERROR(IF(ISERROR(INDEX(Results!$B$2:$AA$226,MATCH(RankPoints!I$4&amp;RankPoints!$B15,Results!$P$2:$P$226,0),24)),INDEX(Results!$B$2:$AA$226,MATCH(RankPoints!I$4&amp;RankPoints!$B15,Results!$Q$2:$Q$226,0),25),INDEX(Results!$B$2:$AA$226,MATCH(RankPoints!I$4&amp;RankPoints!$B15,Results!$P$2:$P$226,0),24))),I15,IF(ISERROR(INDEX(Results!$B$2:$AA$226,MATCH(RankPoints!I$4&amp;RankPoints!$B15,Results!$P$2:$P$226,0),24)),INDEX(Results!$B$2:$AA$226,MATCH(RankPoints!I$4&amp;RankPoints!$B15,Results!$Q$2:$Q$226,0),25),INDEX(Results!$B$2:$AA$226,MATCH(RankPoints!I$4&amp;RankPoints!$B15,Results!$P$2:$P$226,0),24)))</f>
        <v>1500</v>
      </c>
      <c r="J16" s="106">
        <f>IF(ISERROR(IF(ISERROR(INDEX(Results!$B$2:$AA$226,MATCH(RankPoints!J$4&amp;RankPoints!$B15,Results!$P$2:$P$226,0),24)),INDEX(Results!$B$2:$AA$226,MATCH(RankPoints!J$4&amp;RankPoints!$B15,Results!$Q$2:$Q$226,0),25),INDEX(Results!$B$2:$AA$226,MATCH(RankPoints!J$4&amp;RankPoints!$B15,Results!$P$2:$P$226,0),24))),J15,IF(ISERROR(INDEX(Results!$B$2:$AA$226,MATCH(RankPoints!J$4&amp;RankPoints!$B15,Results!$P$2:$P$226,0),24)),INDEX(Results!$B$2:$AA$226,MATCH(RankPoints!J$4&amp;RankPoints!$B15,Results!$Q$2:$Q$226,0),25),INDEX(Results!$B$2:$AA$226,MATCH(RankPoints!J$4&amp;RankPoints!$B15,Results!$P$2:$P$226,0),24)))</f>
        <v>2635</v>
      </c>
      <c r="K16" s="50">
        <f>IF(ISERROR(IF(ISERROR(INDEX(Results!$B$2:$AA$226,MATCH(RankPoints!K$4&amp;RankPoints!$B15,Results!$P$2:$P$226,0),24)),INDEX(Results!$B$2:$AA$226,MATCH(RankPoints!K$4&amp;RankPoints!$B15,Results!$Q$2:$Q$226,0),25),INDEX(Results!$B$2:$AA$226,MATCH(RankPoints!K$4&amp;RankPoints!$B15,Results!$P$2:$P$226,0),24))),K15,IF(ISERROR(INDEX(Results!$B$2:$AA$226,MATCH(RankPoints!K$4&amp;RankPoints!$B15,Results!$P$2:$P$226,0),24)),INDEX(Results!$B$2:$AA$226,MATCH(RankPoints!K$4&amp;RankPoints!$B15,Results!$Q$2:$Q$226,0),25),INDEX(Results!$B$2:$AA$226,MATCH(RankPoints!K$4&amp;RankPoints!$B15,Results!$P$2:$P$226,0),24)))</f>
        <v>1500</v>
      </c>
      <c r="L16" s="50">
        <f>IF(ISERROR(IF(ISERROR(INDEX(Results!$B$2:$AA$226,MATCH(RankPoints!L$4&amp;RankPoints!$B15,Results!$P$2:$P$226,0),24)),INDEX(Results!$B$2:$AA$226,MATCH(RankPoints!L$4&amp;RankPoints!$B15,Results!$Q$2:$Q$226,0),25),INDEX(Results!$B$2:$AA$226,MATCH(RankPoints!L$4&amp;RankPoints!$B15,Results!$P$2:$P$226,0),24))),L15,IF(ISERROR(INDEX(Results!$B$2:$AA$226,MATCH(RankPoints!L$4&amp;RankPoints!$B15,Results!$P$2:$P$226,0),24)),INDEX(Results!$B$2:$AA$226,MATCH(RankPoints!L$4&amp;RankPoints!$B15,Results!$Q$2:$Q$226,0),25),INDEX(Results!$B$2:$AA$226,MATCH(RankPoints!L$4&amp;RankPoints!$B15,Results!$P$2:$P$226,0),24)))</f>
        <v>1500</v>
      </c>
      <c r="M16" s="106">
        <f>IF(ISERROR(IF(ISERROR(INDEX(Results!$B$2:$AA$226,MATCH(RankPoints!M$4&amp;RankPoints!$B15,Results!$P$2:$P$226,0),24)),INDEX(Results!$B$2:$AA$226,MATCH(RankPoints!M$4&amp;RankPoints!$B15,Results!$Q$2:$Q$226,0),25),INDEX(Results!$B$2:$AA$226,MATCH(RankPoints!M$4&amp;RankPoints!$B15,Results!$P$2:$P$226,0),24))),M15,IF(ISERROR(INDEX(Results!$B$2:$AA$226,MATCH(RankPoints!M$4&amp;RankPoints!$B15,Results!$P$2:$P$226,0),24)),INDEX(Results!$B$2:$AA$226,MATCH(RankPoints!M$4&amp;RankPoints!$B15,Results!$Q$2:$Q$226,0),25),INDEX(Results!$B$2:$AA$226,MATCH(RankPoints!M$4&amp;RankPoints!$B15,Results!$P$2:$P$226,0),24)))</f>
        <v>-1287</v>
      </c>
      <c r="N16" s="106">
        <f>IF(ISERROR(IF(ISERROR(INDEX(Results!$B$2:$AA$226,MATCH(RankPoints!N$4&amp;RankPoints!$B15,Results!$P$2:$P$226,0),24)),INDEX(Results!$B$2:$AA$226,MATCH(RankPoints!N$4&amp;RankPoints!$B15,Results!$Q$2:$Q$226,0),25),INDEX(Results!$B$2:$AA$226,MATCH(RankPoints!N$4&amp;RankPoints!$B15,Results!$P$2:$P$226,0),24))),N15,IF(ISERROR(INDEX(Results!$B$2:$AA$226,MATCH(RankPoints!N$4&amp;RankPoints!$B15,Results!$P$2:$P$226,0),24)),INDEX(Results!$B$2:$AA$226,MATCH(RankPoints!N$4&amp;RankPoints!$B15,Results!$Q$2:$Q$226,0),25),INDEX(Results!$B$2:$AA$226,MATCH(RankPoints!N$4&amp;RankPoints!$B15,Results!$P$2:$P$226,0),24)))</f>
        <v>2850</v>
      </c>
      <c r="O16" s="50">
        <f>IF(ISERROR(IF(ISERROR(INDEX(Results!$B$2:$AA$226,MATCH(RankPoints!O$4&amp;RankPoints!$B15,Results!$P$2:$P$226,0),24)),INDEX(Results!$B$2:$AA$226,MATCH(RankPoints!O$4&amp;RankPoints!$B15,Results!$Q$2:$Q$226,0),25),INDEX(Results!$B$2:$AA$226,MATCH(RankPoints!O$4&amp;RankPoints!$B15,Results!$P$2:$P$226,0),24))),O15,IF(ISERROR(INDEX(Results!$B$2:$AA$226,MATCH(RankPoints!O$4&amp;RankPoints!$B15,Results!$P$2:$P$226,0),24)),INDEX(Results!$B$2:$AA$226,MATCH(RankPoints!O$4&amp;RankPoints!$B15,Results!$Q$2:$Q$226,0),25),INDEX(Results!$B$2:$AA$226,MATCH(RankPoints!O$4&amp;RankPoints!$B15,Results!$P$2:$P$226,0),24)))</f>
        <v>1500</v>
      </c>
      <c r="P16" s="105">
        <f>IF(ISERROR(IF(ISERROR(INDEX(Results!$B$2:$AA$226,MATCH(RankPoints!P$4&amp;RankPoints!$B15,Results!$P$2:$P$226,0),24)),INDEX(Results!$B$2:$AA$226,MATCH(RankPoints!P$4&amp;RankPoints!$B15,Results!$Q$2:$Q$226,0),25),INDEX(Results!$B$2:$AA$226,MATCH(RankPoints!P$4&amp;RankPoints!$B15,Results!$P$2:$P$226,0),24))),P15,IF(ISERROR(INDEX(Results!$B$2:$AA$226,MATCH(RankPoints!P$4&amp;RankPoints!$B15,Results!$P$2:$P$226,0),24)),INDEX(Results!$B$2:$AA$226,MATCH(RankPoints!P$4&amp;RankPoints!$B15,Results!$Q$2:$Q$226,0),25),INDEX(Results!$B$2:$AA$226,MATCH(RankPoints!P$4&amp;RankPoints!$B15,Results!$P$2:$P$226,0),24)))</f>
        <v>1500</v>
      </c>
      <c r="Q16" s="50">
        <f>IF(ISERROR(IF(ISERROR(INDEX(Results!$B$2:$AA$226,MATCH(RankPoints!Q$4&amp;RankPoints!$B15,Results!$P$2:$P$226,0),24)),INDEX(Results!$B$2:$AA$226,MATCH(RankPoints!Q$4&amp;RankPoints!$B15,Results!$Q$2:$Q$226,0),25),INDEX(Results!$B$2:$AA$226,MATCH(RankPoints!Q$4&amp;RankPoints!$B15,Results!$P$2:$P$226,0),24))),Q15,IF(ISERROR(INDEX(Results!$B$2:$AA$226,MATCH(RankPoints!Q$4&amp;RankPoints!$B15,Results!$P$2:$P$226,0),24)),INDEX(Results!$B$2:$AA$226,MATCH(RankPoints!Q$4&amp;RankPoints!$B15,Results!$Q$2:$Q$226,0),25),INDEX(Results!$B$2:$AA$226,MATCH(RankPoints!Q$4&amp;RankPoints!$B15,Results!$P$2:$P$226,0),24)))</f>
        <v>1500</v>
      </c>
      <c r="R16" s="50">
        <f>IF(ISERROR(IF(ISERROR(INDEX(Results!$B$2:$AA$226,MATCH(RankPoints!R$4&amp;RankPoints!$B15,Results!$P$2:$P$226,0),24)),INDEX(Results!$B$2:$AA$226,MATCH(RankPoints!R$4&amp;RankPoints!$B15,Results!$Q$2:$Q$226,0),25),INDEX(Results!$B$2:$AA$226,MATCH(RankPoints!R$4&amp;RankPoints!$B15,Results!$P$2:$P$226,0),24))),R15,IF(ISERROR(INDEX(Results!$B$2:$AA$226,MATCH(RankPoints!R$4&amp;RankPoints!$B15,Results!$P$2:$P$226,0),24)),INDEX(Results!$B$2:$AA$226,MATCH(RankPoints!R$4&amp;RankPoints!$B15,Results!$Q$2:$Q$226,0),25),INDEX(Results!$B$2:$AA$226,MATCH(RankPoints!R$4&amp;RankPoints!$B15,Results!$P$2:$P$226,0),24)))</f>
        <v>1500</v>
      </c>
      <c r="S16" s="50">
        <f>IF(ISERROR(IF(ISERROR(INDEX(Results!$B$2:$AA$226,MATCH(RankPoints!S$4&amp;RankPoints!$B15,Results!$P$2:$P$226,0),24)),INDEX(Results!$B$2:$AA$226,MATCH(RankPoints!S$4&amp;RankPoints!$B15,Results!$Q$2:$Q$226,0),25),INDEX(Results!$B$2:$AA$226,MATCH(RankPoints!S$4&amp;RankPoints!$B15,Results!$P$2:$P$226,0),24))),S15,IF(ISERROR(INDEX(Results!$B$2:$AA$226,MATCH(RankPoints!S$4&amp;RankPoints!$B15,Results!$P$2:$P$226,0),24)),INDEX(Results!$B$2:$AA$226,MATCH(RankPoints!S$4&amp;RankPoints!$B15,Results!$Q$2:$Q$226,0),25),INDEX(Results!$B$2:$AA$226,MATCH(RankPoints!S$4&amp;RankPoints!$B15,Results!$P$2:$P$226,0),24)))</f>
        <v>-1516</v>
      </c>
      <c r="T16" s="50">
        <f>IF(ISERROR(IF(ISERROR(INDEX(Results!$B$2:$AA$226,MATCH(RankPoints!T$4&amp;RankPoints!$B15,Results!$P$2:$P$226,0),24)),INDEX(Results!$B$2:$AA$226,MATCH(RankPoints!T$4&amp;RankPoints!$B15,Results!$Q$2:$Q$226,0),25),INDEX(Results!$B$2:$AA$226,MATCH(RankPoints!T$4&amp;RankPoints!$B15,Results!$P$2:$P$226,0),24))),T15,IF(ISERROR(INDEX(Results!$B$2:$AA$226,MATCH(RankPoints!T$4&amp;RankPoints!$B15,Results!$P$2:$P$226,0),24)),INDEX(Results!$B$2:$AA$226,MATCH(RankPoints!T$4&amp;RankPoints!$B15,Results!$Q$2:$Q$226,0),25),INDEX(Results!$B$2:$AA$226,MATCH(RankPoints!T$4&amp;RankPoints!$B15,Results!$P$2:$P$226,0),24)))</f>
        <v>1500</v>
      </c>
      <c r="U16" s="50">
        <f>IF(ISERROR(IF(ISERROR(INDEX(Results!$B$2:$AA$226,MATCH(RankPoints!U$4&amp;RankPoints!$B15,Results!$P$2:$P$226,0),24)),INDEX(Results!$B$2:$AA$226,MATCH(RankPoints!U$4&amp;RankPoints!$B15,Results!$Q$2:$Q$226,0),25),INDEX(Results!$B$2:$AA$226,MATCH(RankPoints!U$4&amp;RankPoints!$B15,Results!$P$2:$P$226,0),24))),U15,IF(ISERROR(INDEX(Results!$B$2:$AA$226,MATCH(RankPoints!U$4&amp;RankPoints!$B15,Results!$P$2:$P$226,0),24)),INDEX(Results!$B$2:$AA$226,MATCH(RankPoints!U$4&amp;RankPoints!$B15,Results!$Q$2:$Q$226,0),25),INDEX(Results!$B$2:$AA$226,MATCH(RankPoints!U$4&amp;RankPoints!$B15,Results!$P$2:$P$226,0),24)))</f>
        <v>1500</v>
      </c>
      <c r="V16" s="50">
        <f>IF(ISERROR(IF(ISERROR(INDEX(Results!$B$2:$AA$226,MATCH(RankPoints!V$4&amp;RankPoints!$B15,Results!$P$2:$P$226,0),24)),INDEX(Results!$B$2:$AA$226,MATCH(RankPoints!V$4&amp;RankPoints!$B15,Results!$Q$2:$Q$226,0),25),INDEX(Results!$B$2:$AA$226,MATCH(RankPoints!V$4&amp;RankPoints!$B15,Results!$P$2:$P$226,0),24))),V15,IF(ISERROR(INDEX(Results!$B$2:$AA$226,MATCH(RankPoints!V$4&amp;RankPoints!$B15,Results!$P$2:$P$226,0),24)),INDEX(Results!$B$2:$AA$226,MATCH(RankPoints!V$4&amp;RankPoints!$B15,Results!$Q$2:$Q$226,0),25),INDEX(Results!$B$2:$AA$226,MATCH(RankPoints!V$4&amp;RankPoints!$B15,Results!$P$2:$P$226,0),24)))</f>
        <v>1516</v>
      </c>
      <c r="W16" s="105">
        <f>IF(ISERROR(IF(ISERROR(INDEX(Results!$B$2:$AA$226,MATCH(RankPoints!W$4&amp;RankPoints!$B15,Results!$P$2:$P$226,0),24)),INDEX(Results!$B$2:$AA$226,MATCH(RankPoints!W$4&amp;RankPoints!$B15,Results!$Q$2:$Q$226,0),25),INDEX(Results!$B$2:$AA$226,MATCH(RankPoints!W$4&amp;RankPoints!$B15,Results!$P$2:$P$226,0),24))),W15,IF(ISERROR(INDEX(Results!$B$2:$AA$226,MATCH(RankPoints!W$4&amp;RankPoints!$B15,Results!$P$2:$P$226,0),24)),INDEX(Results!$B$2:$AA$226,MATCH(RankPoints!W$4&amp;RankPoints!$B15,Results!$Q$2:$Q$226,0),25),INDEX(Results!$B$2:$AA$226,MATCH(RankPoints!W$4&amp;RankPoints!$B15,Results!$P$2:$P$226,0),24)))</f>
        <v>1500</v>
      </c>
      <c r="X16" s="106">
        <f>IF(ISERROR(IF(ISERROR(INDEX(Results!$B$2:$AA$226,MATCH(RankPoints!X$4&amp;RankPoints!$B15,Results!$P$2:$P$226,0),24)),INDEX(Results!$B$2:$AA$226,MATCH(RankPoints!X$4&amp;RankPoints!$B15,Results!$Q$2:$Q$226,0),25),INDEX(Results!$B$2:$AA$226,MATCH(RankPoints!X$4&amp;RankPoints!$B15,Results!$P$2:$P$226,0),24))),X15,IF(ISERROR(INDEX(Results!$B$2:$AA$226,MATCH(RankPoints!X$4&amp;RankPoints!$B15,Results!$P$2:$P$226,0),24)),INDEX(Results!$B$2:$AA$226,MATCH(RankPoints!X$4&amp;RankPoints!$B15,Results!$Q$2:$Q$226,0),25),INDEX(Results!$B$2:$AA$226,MATCH(RankPoints!X$4&amp;RankPoints!$B15,Results!$P$2:$P$226,0),24)))</f>
        <v>-104</v>
      </c>
      <c r="Y16" s="50">
        <f>IF(ISERROR(IF(ISERROR(INDEX(Results!$B$2:$AA$226,MATCH(RankPoints!Y$4&amp;RankPoints!$B15,Results!$P$2:$P$226,0),24)),INDEX(Results!$B$2:$AA$226,MATCH(RankPoints!Y$4&amp;RankPoints!$B15,Results!$Q$2:$Q$226,0),25),INDEX(Results!$B$2:$AA$226,MATCH(RankPoints!Y$4&amp;RankPoints!$B15,Results!$P$2:$P$226,0),24))),Y15,IF(ISERROR(INDEX(Results!$B$2:$AA$226,MATCH(RankPoints!Y$4&amp;RankPoints!$B15,Results!$P$2:$P$226,0),24)),INDEX(Results!$B$2:$AA$226,MATCH(RankPoints!Y$4&amp;RankPoints!$B15,Results!$Q$2:$Q$226,0),25),INDEX(Results!$B$2:$AA$226,MATCH(RankPoints!Y$4&amp;RankPoints!$B15,Results!$P$2:$P$226,0),24)))</f>
        <v>-6305</v>
      </c>
      <c r="Z16" s="50">
        <f>IF(ISERROR(IF(ISERROR(INDEX(Results!$B$2:$AA$226,MATCH(RankPoints!Z$4&amp;RankPoints!$B15,Results!$P$2:$P$226,0),24)),INDEX(Results!$B$2:$AA$226,MATCH(RankPoints!Z$4&amp;RankPoints!$B15,Results!$Q$2:$Q$226,0),25),INDEX(Results!$B$2:$AA$226,MATCH(RankPoints!Z$4&amp;RankPoints!$B15,Results!$P$2:$P$226,0),24))),Z15,IF(ISERROR(INDEX(Results!$B$2:$AA$226,MATCH(RankPoints!Z$4&amp;RankPoints!$B15,Results!$P$2:$P$226,0),24)),INDEX(Results!$B$2:$AA$226,MATCH(RankPoints!Z$4&amp;RankPoints!$B15,Results!$Q$2:$Q$226,0),25),INDEX(Results!$B$2:$AA$226,MATCH(RankPoints!Z$4&amp;RankPoints!$B15,Results!$P$2:$P$226,0),24)))</f>
        <v>-2972</v>
      </c>
      <c r="AA16" s="50">
        <f>IF(ISERROR(IF(ISERROR(INDEX(Results!$B$2:$AA$226,MATCH(RankPoints!AA$4&amp;RankPoints!$B15,Results!$P$2:$P$226,0),24)),INDEX(Results!$B$2:$AA$226,MATCH(RankPoints!AA$4&amp;RankPoints!$B15,Results!$Q$2:$Q$226,0),25),INDEX(Results!$B$2:$AA$226,MATCH(RankPoints!AA$4&amp;RankPoints!$B15,Results!$P$2:$P$226,0),24))),AA15,IF(ISERROR(INDEX(Results!$B$2:$AA$226,MATCH(RankPoints!AA$4&amp;RankPoints!$B15,Results!$P$2:$P$226,0),24)),INDEX(Results!$B$2:$AA$226,MATCH(RankPoints!AA$4&amp;RankPoints!$B15,Results!$Q$2:$Q$226,0),25),INDEX(Results!$B$2:$AA$226,MATCH(RankPoints!AA$4&amp;RankPoints!$B15,Results!$P$2:$P$226,0),24)))</f>
        <v>1500</v>
      </c>
      <c r="AB16" s="106">
        <f>IF(ISERROR(IF(ISERROR(INDEX(Results!$B$2:$AA$226,MATCH(RankPoints!AB$4&amp;RankPoints!$B15,Results!$P$2:$P$226,0),24)),INDEX(Results!$B$2:$AA$226,MATCH(RankPoints!AB$4&amp;RankPoints!$B15,Results!$Q$2:$Q$226,0),25),INDEX(Results!$B$2:$AA$226,MATCH(RankPoints!AB$4&amp;RankPoints!$B15,Results!$P$2:$P$226,0),24))),AB15,IF(ISERROR(INDEX(Results!$B$2:$AA$226,MATCH(RankPoints!AB$4&amp;RankPoints!$B15,Results!$P$2:$P$226,0),24)),INDEX(Results!$B$2:$AA$226,MATCH(RankPoints!AB$4&amp;RankPoints!$B15,Results!$Q$2:$Q$226,0),25),INDEX(Results!$B$2:$AA$226,MATCH(RankPoints!AB$4&amp;RankPoints!$B15,Results!$P$2:$P$226,0),24)))</f>
        <v>3212</v>
      </c>
      <c r="AC16" s="50">
        <f>IF(ISERROR(IF(ISERROR(INDEX(Results!$B$2:$AA$226,MATCH(RankPoints!AC$4&amp;RankPoints!$B15,Results!$P$2:$P$226,0),24)),INDEX(Results!$B$2:$AA$226,MATCH(RankPoints!AC$4&amp;RankPoints!$B15,Results!$Q$2:$Q$226,0),25),INDEX(Results!$B$2:$AA$226,MATCH(RankPoints!AC$4&amp;RankPoints!$B15,Results!$P$2:$P$226,0),24))),AC15,IF(ISERROR(INDEX(Results!$B$2:$AA$226,MATCH(RankPoints!AC$4&amp;RankPoints!$B15,Results!$P$2:$P$226,0),24)),INDEX(Results!$B$2:$AA$226,MATCH(RankPoints!AC$4&amp;RankPoints!$B15,Results!$Q$2:$Q$226,0),25),INDEX(Results!$B$2:$AA$226,MATCH(RankPoints!AC$4&amp;RankPoints!$B15,Results!$P$2:$P$226,0),24)))</f>
        <v>1500</v>
      </c>
      <c r="AD16" s="107">
        <f>IF(ISERROR(IF(ISERROR(INDEX(Results!$B$2:$AA$226,MATCH(RankPoints!AD$4&amp;RankPoints!$B15,Results!$P$2:$P$226,0),24)),INDEX(Results!$B$2:$AA$226,MATCH(RankPoints!AD$4&amp;RankPoints!$B15,Results!$Q$2:$Q$226,0),25),INDEX(Results!$B$2:$AA$226,MATCH(RankPoints!AD$4&amp;RankPoints!$B15,Results!$P$2:$P$226,0),24))),AD15,IF(ISERROR(INDEX(Results!$B$2:$AA$226,MATCH(RankPoints!AD$4&amp;RankPoints!$B15,Results!$P$2:$P$226,0),24)),INDEX(Results!$B$2:$AA$226,MATCH(RankPoints!AD$4&amp;RankPoints!$B15,Results!$Q$2:$Q$226,0),25),INDEX(Results!$B$2:$AA$226,MATCH(RankPoints!AD$4&amp;RankPoints!$B15,Results!$P$2:$P$226,0),24)))</f>
        <v>1583</v>
      </c>
      <c r="AE16" s="106">
        <f>IF(ISERROR(IF(ISERROR(INDEX(Results!$B$2:$AA$226,MATCH(RankPoints!AE$4&amp;RankPoints!$B15,Results!$P$2:$P$226,0),24)),INDEX(Results!$B$2:$AA$226,MATCH(RankPoints!AE$4&amp;RankPoints!$B15,Results!$Q$2:$Q$226,0),25),INDEX(Results!$B$2:$AA$226,MATCH(RankPoints!AE$4&amp;RankPoints!$B15,Results!$P$2:$P$226,0),24))),AE15,IF(ISERROR(INDEX(Results!$B$2:$AA$226,MATCH(RankPoints!AE$4&amp;RankPoints!$B15,Results!$P$2:$P$226,0),24)),INDEX(Results!$B$2:$AA$226,MATCH(RankPoints!AE$4&amp;RankPoints!$B15,Results!$Q$2:$Q$226,0),25),INDEX(Results!$B$2:$AA$226,MATCH(RankPoints!AE$4&amp;RankPoints!$B15,Results!$P$2:$P$226,0),24)))</f>
        <v>448</v>
      </c>
      <c r="AF16" s="106">
        <f>IF(ISERROR(IF(ISERROR(INDEX(Results!$B$2:$AA$226,MATCH(RankPoints!AF$4&amp;RankPoints!$B15,Results!$P$2:$P$226,0),24)),INDEX(Results!$B$2:$AA$226,MATCH(RankPoints!AF$4&amp;RankPoints!$B15,Results!$Q$2:$Q$226,0),25),INDEX(Results!$B$2:$AA$226,MATCH(RankPoints!AF$4&amp;RankPoints!$B15,Results!$P$2:$P$226,0),24))),AF15,IF(ISERROR(INDEX(Results!$B$2:$AA$226,MATCH(RankPoints!AF$4&amp;RankPoints!$B15,Results!$P$2:$P$226,0),24)),INDEX(Results!$B$2:$AA$226,MATCH(RankPoints!AF$4&amp;RankPoints!$B15,Results!$Q$2:$Q$226,0),25),INDEX(Results!$B$2:$AA$226,MATCH(RankPoints!AF$4&amp;RankPoints!$B15,Results!$P$2:$P$226,0),24)))</f>
        <v>1411</v>
      </c>
      <c r="AG16" s="50">
        <f>IF(ISERROR(IF(ISERROR(INDEX(Results!$B$2:$AA$226,MATCH(RankPoints!AG$4&amp;RankPoints!$B15,Results!$P$2:$P$226,0),24)),INDEX(Results!$B$2:$AA$226,MATCH(RankPoints!AG$4&amp;RankPoints!$B15,Results!$Q$2:$Q$226,0),25),INDEX(Results!$B$2:$AA$226,MATCH(RankPoints!AG$4&amp;RankPoints!$B15,Results!$P$2:$P$226,0),24))),AG15,IF(ISERROR(INDEX(Results!$B$2:$AA$226,MATCH(RankPoints!AG$4&amp;RankPoints!$B15,Results!$P$2:$P$226,0),24)),INDEX(Results!$B$2:$AA$226,MATCH(RankPoints!AG$4&amp;RankPoints!$B15,Results!$Q$2:$Q$226,0),25),INDEX(Results!$B$2:$AA$226,MATCH(RankPoints!AG$4&amp;RankPoints!$B15,Results!$P$2:$P$226,0),24)))</f>
        <v>326</v>
      </c>
      <c r="AH16" s="50">
        <f>IF(ISERROR(IF(ISERROR(INDEX(Results!$B$2:$AA$226,MATCH(RankPoints!AH$4&amp;RankPoints!$B15,Results!$P$2:$P$226,0),24)),INDEX(Results!$B$2:$AA$226,MATCH(RankPoints!AH$4&amp;RankPoints!$B15,Results!$Q$2:$Q$226,0),25),INDEX(Results!$B$2:$AA$226,MATCH(RankPoints!AH$4&amp;RankPoints!$B15,Results!$P$2:$P$226,0),24))),AH15,IF(ISERROR(INDEX(Results!$B$2:$AA$226,MATCH(RankPoints!AH$4&amp;RankPoints!$B15,Results!$P$2:$P$226,0),24)),INDEX(Results!$B$2:$AA$226,MATCH(RankPoints!AH$4&amp;RankPoints!$B15,Results!$Q$2:$Q$226,0),25),INDEX(Results!$B$2:$AA$226,MATCH(RankPoints!AH$4&amp;RankPoints!$B15,Results!$P$2:$P$226,0),24)))</f>
        <v>1500</v>
      </c>
      <c r="AI16" s="50">
        <f>IF(ISERROR(IF(ISERROR(INDEX(Results!$B$2:$AA$226,MATCH(RankPoints!AI$4&amp;RankPoints!$B15,Results!$P$2:$P$226,0),24)),INDEX(Results!$B$2:$AA$226,MATCH(RankPoints!AI$4&amp;RankPoints!$B15,Results!$Q$2:$Q$226,0),25),INDEX(Results!$B$2:$AA$226,MATCH(RankPoints!AI$4&amp;RankPoints!$B15,Results!$P$2:$P$226,0),24))),AI15,IF(ISERROR(INDEX(Results!$B$2:$AA$226,MATCH(RankPoints!AI$4&amp;RankPoints!$B15,Results!$P$2:$P$226,0),24)),INDEX(Results!$B$2:$AA$226,MATCH(RankPoints!AI$4&amp;RankPoints!$B15,Results!$Q$2:$Q$226,0),25),INDEX(Results!$B$2:$AA$226,MATCH(RankPoints!AI$4&amp;RankPoints!$B15,Results!$P$2:$P$226,0),24)))</f>
        <v>1500</v>
      </c>
      <c r="AJ16" s="106">
        <f>IF(ISERROR(IF(ISERROR(INDEX(Results!$B$2:$AA$226,MATCH(RankPoints!AJ$4&amp;RankPoints!$B15,Results!$P$2:$P$226,0),24)),INDEX(Results!$B$2:$AA$226,MATCH(RankPoints!AJ$4&amp;RankPoints!$B15,Results!$Q$2:$Q$226,0),25),INDEX(Results!$B$2:$AA$226,MATCH(RankPoints!AJ$4&amp;RankPoints!$B15,Results!$P$2:$P$226,0),24))),AJ15,IF(ISERROR(INDEX(Results!$B$2:$AA$226,MATCH(RankPoints!AJ$4&amp;RankPoints!$B15,Results!$P$2:$P$226,0),24)),INDEX(Results!$B$2:$AA$226,MATCH(RankPoints!AJ$4&amp;RankPoints!$B15,Results!$Q$2:$Q$226,0),25),INDEX(Results!$B$2:$AA$226,MATCH(RankPoints!AJ$4&amp;RankPoints!$B15,Results!$P$2:$P$226,0),24)))</f>
        <v>1493</v>
      </c>
      <c r="AK16" s="107">
        <f>IF(ISERROR(IF(ISERROR(INDEX(Results!$B$2:$AA$226,MATCH(RankPoints!AK$4&amp;RankPoints!$B15,Results!$P$2:$P$226,0),24)),INDEX(Results!$B$2:$AA$226,MATCH(RankPoints!AK$4&amp;RankPoints!$B15,Results!$Q$2:$Q$226,0),25),INDEX(Results!$B$2:$AA$226,MATCH(RankPoints!AK$4&amp;RankPoints!$B15,Results!$P$2:$P$226,0),24))),AK15,IF(ISERROR(INDEX(Results!$B$2:$AA$226,MATCH(RankPoints!AK$4&amp;RankPoints!$B15,Results!$P$2:$P$226,0),24)),INDEX(Results!$B$2:$AA$226,MATCH(RankPoints!AK$4&amp;RankPoints!$B15,Results!$Q$2:$Q$226,0),25),INDEX(Results!$B$2:$AA$226,MATCH(RankPoints!AK$4&amp;RankPoints!$B15,Results!$P$2:$P$226,0),24)))</f>
        <v>353</v>
      </c>
    </row>
    <row r="17" spans="2:37" ht="12.75">
      <c r="B17" s="134">
        <v>13</v>
      </c>
      <c r="C17" s="116">
        <f>IF(ISERROR(IF(ISERROR(INDEX(Results!$B$2:$AA$226,MATCH(RankPoints!C$4&amp;RankPoints!$B16,Results!$P$2:$P$226,0),24)),INDEX(Results!$B$2:$AA$226,MATCH(RankPoints!C$4&amp;RankPoints!$B16,Results!$Q$2:$Q$226,0),25),INDEX(Results!$B$2:$AA$226,MATCH(RankPoints!C$4&amp;RankPoints!$B16,Results!$P$2:$P$226,0),24))),C16,IF(ISERROR(INDEX(Results!$B$2:$AA$226,MATCH(RankPoints!C$4&amp;RankPoints!$B16,Results!$P$2:$P$226,0),24)),INDEX(Results!$B$2:$AA$226,MATCH(RankPoints!C$4&amp;RankPoints!$B16,Results!$Q$2:$Q$226,0),25),INDEX(Results!$B$2:$AA$226,MATCH(RankPoints!C$4&amp;RankPoints!$B16,Results!$P$2:$P$226,0),24)))</f>
        <v>1500</v>
      </c>
      <c r="D17" s="118">
        <f>IF(ISERROR(IF(ISERROR(INDEX(Results!$B$2:$AA$226,MATCH(RankPoints!D$4&amp;RankPoints!$B16,Results!$P$2:$P$226,0),24)),INDEX(Results!$B$2:$AA$226,MATCH(RankPoints!D$4&amp;RankPoints!$B16,Results!$Q$2:$Q$226,0),25),INDEX(Results!$B$2:$AA$226,MATCH(RankPoints!D$4&amp;RankPoints!$B16,Results!$P$2:$P$226,0),24))),D16,IF(ISERROR(INDEX(Results!$B$2:$AA$226,MATCH(RankPoints!D$4&amp;RankPoints!$B16,Results!$P$2:$P$226,0),24)),INDEX(Results!$B$2:$AA$226,MATCH(RankPoints!D$4&amp;RankPoints!$B16,Results!$Q$2:$Q$226,0),25),INDEX(Results!$B$2:$AA$226,MATCH(RankPoints!D$4&amp;RankPoints!$B16,Results!$P$2:$P$226,0),24)))</f>
        <v>-1516</v>
      </c>
      <c r="E17" s="118">
        <f>IF(ISERROR(IF(ISERROR(INDEX(Results!$B$2:$AA$226,MATCH(RankPoints!E$4&amp;RankPoints!$B16,Results!$P$2:$P$226,0),24)),INDEX(Results!$B$2:$AA$226,MATCH(RankPoints!E$4&amp;RankPoints!$B16,Results!$Q$2:$Q$226,0),25),INDEX(Results!$B$2:$AA$226,MATCH(RankPoints!E$4&amp;RankPoints!$B16,Results!$P$2:$P$226,0),24))),E16,IF(ISERROR(INDEX(Results!$B$2:$AA$226,MATCH(RankPoints!E$4&amp;RankPoints!$B16,Results!$P$2:$P$226,0),24)),INDEX(Results!$B$2:$AA$226,MATCH(RankPoints!E$4&amp;RankPoints!$B16,Results!$Q$2:$Q$226,0),25),INDEX(Results!$B$2:$AA$226,MATCH(RankPoints!E$4&amp;RankPoints!$B16,Results!$P$2:$P$226,0),24)))</f>
        <v>1731</v>
      </c>
      <c r="F17" s="116">
        <f>IF(ISERROR(IF(ISERROR(INDEX(Results!$B$2:$AA$226,MATCH(RankPoints!F$4&amp;RankPoints!$B16,Results!$P$2:$P$226,0),24)),INDEX(Results!$B$2:$AA$226,MATCH(RankPoints!F$4&amp;RankPoints!$B16,Results!$Q$2:$Q$226,0),25),INDEX(Results!$B$2:$AA$226,MATCH(RankPoints!F$4&amp;RankPoints!$B16,Results!$P$2:$P$226,0),24))),F16,IF(ISERROR(INDEX(Results!$B$2:$AA$226,MATCH(RankPoints!F$4&amp;RankPoints!$B16,Results!$P$2:$P$226,0),24)),INDEX(Results!$B$2:$AA$226,MATCH(RankPoints!F$4&amp;RankPoints!$B16,Results!$Q$2:$Q$226,0),25),INDEX(Results!$B$2:$AA$226,MATCH(RankPoints!F$4&amp;RankPoints!$B16,Results!$P$2:$P$226,0),24)))</f>
        <v>1500</v>
      </c>
      <c r="G17" s="116">
        <f>IF(ISERROR(IF(ISERROR(INDEX(Results!$B$2:$AA$226,MATCH(RankPoints!G$4&amp;RankPoints!$B16,Results!$P$2:$P$226,0),24)),INDEX(Results!$B$2:$AA$226,MATCH(RankPoints!G$4&amp;RankPoints!$B16,Results!$Q$2:$Q$226,0),25),INDEX(Results!$B$2:$AA$226,MATCH(RankPoints!G$4&amp;RankPoints!$B16,Results!$P$2:$P$226,0),24))),G16,IF(ISERROR(INDEX(Results!$B$2:$AA$226,MATCH(RankPoints!G$4&amp;RankPoints!$B16,Results!$P$2:$P$226,0),24)),INDEX(Results!$B$2:$AA$226,MATCH(RankPoints!G$4&amp;RankPoints!$B16,Results!$Q$2:$Q$226,0),25),INDEX(Results!$B$2:$AA$226,MATCH(RankPoints!G$4&amp;RankPoints!$B16,Results!$P$2:$P$226,0),24)))</f>
        <v>1548</v>
      </c>
      <c r="H17" s="116">
        <f>IF(ISERROR(IF(ISERROR(INDEX(Results!$B$2:$AA$226,MATCH(RankPoints!H$4&amp;RankPoints!$B16,Results!$P$2:$P$226,0),24)),INDEX(Results!$B$2:$AA$226,MATCH(RankPoints!H$4&amp;RankPoints!$B16,Results!$Q$2:$Q$226,0),25),INDEX(Results!$B$2:$AA$226,MATCH(RankPoints!H$4&amp;RankPoints!$B16,Results!$P$2:$P$226,0),24))),H16,IF(ISERROR(INDEX(Results!$B$2:$AA$226,MATCH(RankPoints!H$4&amp;RankPoints!$B16,Results!$P$2:$P$226,0),24)),INDEX(Results!$B$2:$AA$226,MATCH(RankPoints!H$4&amp;RankPoints!$B16,Results!$Q$2:$Q$226,0),25),INDEX(Results!$B$2:$AA$226,MATCH(RankPoints!H$4&amp;RankPoints!$B16,Results!$P$2:$P$226,0),24)))</f>
        <v>1651</v>
      </c>
      <c r="I17" s="117">
        <f>IF(ISERROR(IF(ISERROR(INDEX(Results!$B$2:$AA$226,MATCH(RankPoints!I$4&amp;RankPoints!$B16,Results!$P$2:$P$226,0),24)),INDEX(Results!$B$2:$AA$226,MATCH(RankPoints!I$4&amp;RankPoints!$B16,Results!$Q$2:$Q$226,0),25),INDEX(Results!$B$2:$AA$226,MATCH(RankPoints!I$4&amp;RankPoints!$B16,Results!$P$2:$P$226,0),24))),I16,IF(ISERROR(INDEX(Results!$B$2:$AA$226,MATCH(RankPoints!I$4&amp;RankPoints!$B16,Results!$P$2:$P$226,0),24)),INDEX(Results!$B$2:$AA$226,MATCH(RankPoints!I$4&amp;RankPoints!$B16,Results!$Q$2:$Q$226,0),25),INDEX(Results!$B$2:$AA$226,MATCH(RankPoints!I$4&amp;RankPoints!$B16,Results!$P$2:$P$226,0),24)))</f>
        <v>1500</v>
      </c>
      <c r="J17" s="118">
        <f>IF(ISERROR(IF(ISERROR(INDEX(Results!$B$2:$AA$226,MATCH(RankPoints!J$4&amp;RankPoints!$B16,Results!$P$2:$P$226,0),24)),INDEX(Results!$B$2:$AA$226,MATCH(RankPoints!J$4&amp;RankPoints!$B16,Results!$Q$2:$Q$226,0),25),INDEX(Results!$B$2:$AA$226,MATCH(RankPoints!J$4&amp;RankPoints!$B16,Results!$P$2:$P$226,0),24))),J16,IF(ISERROR(INDEX(Results!$B$2:$AA$226,MATCH(RankPoints!J$4&amp;RankPoints!$B16,Results!$P$2:$P$226,0),24)),INDEX(Results!$B$2:$AA$226,MATCH(RankPoints!J$4&amp;RankPoints!$B16,Results!$Q$2:$Q$226,0),25),INDEX(Results!$B$2:$AA$226,MATCH(RankPoints!J$4&amp;RankPoints!$B16,Results!$P$2:$P$226,0),24)))</f>
        <v>2635</v>
      </c>
      <c r="K17" s="116">
        <f>IF(ISERROR(IF(ISERROR(INDEX(Results!$B$2:$AA$226,MATCH(RankPoints!K$4&amp;RankPoints!$B16,Results!$P$2:$P$226,0),24)),INDEX(Results!$B$2:$AA$226,MATCH(RankPoints!K$4&amp;RankPoints!$B16,Results!$Q$2:$Q$226,0),25),INDEX(Results!$B$2:$AA$226,MATCH(RankPoints!K$4&amp;RankPoints!$B16,Results!$P$2:$P$226,0),24))),K16,IF(ISERROR(INDEX(Results!$B$2:$AA$226,MATCH(RankPoints!K$4&amp;RankPoints!$B16,Results!$P$2:$P$226,0),24)),INDEX(Results!$B$2:$AA$226,MATCH(RankPoints!K$4&amp;RankPoints!$B16,Results!$Q$2:$Q$226,0),25),INDEX(Results!$B$2:$AA$226,MATCH(RankPoints!K$4&amp;RankPoints!$B16,Results!$P$2:$P$226,0),24)))</f>
        <v>1500</v>
      </c>
      <c r="L17" s="116">
        <f>IF(ISERROR(IF(ISERROR(INDEX(Results!$B$2:$AA$226,MATCH(RankPoints!L$4&amp;RankPoints!$B16,Results!$P$2:$P$226,0),24)),INDEX(Results!$B$2:$AA$226,MATCH(RankPoints!L$4&amp;RankPoints!$B16,Results!$Q$2:$Q$226,0),25),INDEX(Results!$B$2:$AA$226,MATCH(RankPoints!L$4&amp;RankPoints!$B16,Results!$P$2:$P$226,0),24))),L16,IF(ISERROR(INDEX(Results!$B$2:$AA$226,MATCH(RankPoints!L$4&amp;RankPoints!$B16,Results!$P$2:$P$226,0),24)),INDEX(Results!$B$2:$AA$226,MATCH(RankPoints!L$4&amp;RankPoints!$B16,Results!$Q$2:$Q$226,0),25),INDEX(Results!$B$2:$AA$226,MATCH(RankPoints!L$4&amp;RankPoints!$B16,Results!$P$2:$P$226,0),24)))</f>
        <v>1500</v>
      </c>
      <c r="M17" s="118">
        <f>IF(ISERROR(IF(ISERROR(INDEX(Results!$B$2:$AA$226,MATCH(RankPoints!M$4&amp;RankPoints!$B16,Results!$P$2:$P$226,0),24)),INDEX(Results!$B$2:$AA$226,MATCH(RankPoints!M$4&amp;RankPoints!$B16,Results!$Q$2:$Q$226,0),25),INDEX(Results!$B$2:$AA$226,MATCH(RankPoints!M$4&amp;RankPoints!$B16,Results!$P$2:$P$226,0),24))),M16,IF(ISERROR(INDEX(Results!$B$2:$AA$226,MATCH(RankPoints!M$4&amp;RankPoints!$B16,Results!$P$2:$P$226,0),24)),INDEX(Results!$B$2:$AA$226,MATCH(RankPoints!M$4&amp;RankPoints!$B16,Results!$Q$2:$Q$226,0),25),INDEX(Results!$B$2:$AA$226,MATCH(RankPoints!M$4&amp;RankPoints!$B16,Results!$P$2:$P$226,0),24)))</f>
        <v>-1287</v>
      </c>
      <c r="N17" s="118">
        <f>IF(ISERROR(IF(ISERROR(INDEX(Results!$B$2:$AA$226,MATCH(RankPoints!N$4&amp;RankPoints!$B16,Results!$P$2:$P$226,0),24)),INDEX(Results!$B$2:$AA$226,MATCH(RankPoints!N$4&amp;RankPoints!$B16,Results!$Q$2:$Q$226,0),25),INDEX(Results!$B$2:$AA$226,MATCH(RankPoints!N$4&amp;RankPoints!$B16,Results!$P$2:$P$226,0),24))),N16,IF(ISERROR(INDEX(Results!$B$2:$AA$226,MATCH(RankPoints!N$4&amp;RankPoints!$B16,Results!$P$2:$P$226,0),24)),INDEX(Results!$B$2:$AA$226,MATCH(RankPoints!N$4&amp;RankPoints!$B16,Results!$Q$2:$Q$226,0),25),INDEX(Results!$B$2:$AA$226,MATCH(RankPoints!N$4&amp;RankPoints!$B16,Results!$P$2:$P$226,0),24)))</f>
        <v>2850</v>
      </c>
      <c r="O17" s="116">
        <f>IF(ISERROR(IF(ISERROR(INDEX(Results!$B$2:$AA$226,MATCH(RankPoints!O$4&amp;RankPoints!$B16,Results!$P$2:$P$226,0),24)),INDEX(Results!$B$2:$AA$226,MATCH(RankPoints!O$4&amp;RankPoints!$B16,Results!$Q$2:$Q$226,0),25),INDEX(Results!$B$2:$AA$226,MATCH(RankPoints!O$4&amp;RankPoints!$B16,Results!$P$2:$P$226,0),24))),O16,IF(ISERROR(INDEX(Results!$B$2:$AA$226,MATCH(RankPoints!O$4&amp;RankPoints!$B16,Results!$P$2:$P$226,0),24)),INDEX(Results!$B$2:$AA$226,MATCH(RankPoints!O$4&amp;RankPoints!$B16,Results!$Q$2:$Q$226,0),25),INDEX(Results!$B$2:$AA$226,MATCH(RankPoints!O$4&amp;RankPoints!$B16,Results!$P$2:$P$226,0),24)))</f>
        <v>1500</v>
      </c>
      <c r="P17" s="117">
        <f>IF(ISERROR(IF(ISERROR(INDEX(Results!$B$2:$AA$226,MATCH(RankPoints!P$4&amp;RankPoints!$B16,Results!$P$2:$P$226,0),24)),INDEX(Results!$B$2:$AA$226,MATCH(RankPoints!P$4&amp;RankPoints!$B16,Results!$Q$2:$Q$226,0),25),INDEX(Results!$B$2:$AA$226,MATCH(RankPoints!P$4&amp;RankPoints!$B16,Results!$P$2:$P$226,0),24))),P16,IF(ISERROR(INDEX(Results!$B$2:$AA$226,MATCH(RankPoints!P$4&amp;RankPoints!$B16,Results!$P$2:$P$226,0),24)),INDEX(Results!$B$2:$AA$226,MATCH(RankPoints!P$4&amp;RankPoints!$B16,Results!$Q$2:$Q$226,0),25),INDEX(Results!$B$2:$AA$226,MATCH(RankPoints!P$4&amp;RankPoints!$B16,Results!$P$2:$P$226,0),24)))</f>
        <v>1500</v>
      </c>
      <c r="Q17" s="116">
        <f>IF(ISERROR(IF(ISERROR(INDEX(Results!$B$2:$AA$226,MATCH(RankPoints!Q$4&amp;RankPoints!$B16,Results!$P$2:$P$226,0),24)),INDEX(Results!$B$2:$AA$226,MATCH(RankPoints!Q$4&amp;RankPoints!$B16,Results!$Q$2:$Q$226,0),25),INDEX(Results!$B$2:$AA$226,MATCH(RankPoints!Q$4&amp;RankPoints!$B16,Results!$P$2:$P$226,0),24))),Q16,IF(ISERROR(INDEX(Results!$B$2:$AA$226,MATCH(RankPoints!Q$4&amp;RankPoints!$B16,Results!$P$2:$P$226,0),24)),INDEX(Results!$B$2:$AA$226,MATCH(RankPoints!Q$4&amp;RankPoints!$B16,Results!$Q$2:$Q$226,0),25),INDEX(Results!$B$2:$AA$226,MATCH(RankPoints!Q$4&amp;RankPoints!$B16,Results!$P$2:$P$226,0),24)))</f>
        <v>1500</v>
      </c>
      <c r="R17" s="116">
        <f>IF(ISERROR(IF(ISERROR(INDEX(Results!$B$2:$AA$226,MATCH(RankPoints!R$4&amp;RankPoints!$B16,Results!$P$2:$P$226,0),24)),INDEX(Results!$B$2:$AA$226,MATCH(RankPoints!R$4&amp;RankPoints!$B16,Results!$Q$2:$Q$226,0),25),INDEX(Results!$B$2:$AA$226,MATCH(RankPoints!R$4&amp;RankPoints!$B16,Results!$P$2:$P$226,0),24))),R16,IF(ISERROR(INDEX(Results!$B$2:$AA$226,MATCH(RankPoints!R$4&amp;RankPoints!$B16,Results!$P$2:$P$226,0),24)),INDEX(Results!$B$2:$AA$226,MATCH(RankPoints!R$4&amp;RankPoints!$B16,Results!$Q$2:$Q$226,0),25),INDEX(Results!$B$2:$AA$226,MATCH(RankPoints!R$4&amp;RankPoints!$B16,Results!$P$2:$P$226,0),24)))</f>
        <v>1500</v>
      </c>
      <c r="S17" s="116">
        <f>IF(ISERROR(IF(ISERROR(INDEX(Results!$B$2:$AA$226,MATCH(RankPoints!S$4&amp;RankPoints!$B16,Results!$P$2:$P$226,0),24)),INDEX(Results!$B$2:$AA$226,MATCH(RankPoints!S$4&amp;RankPoints!$B16,Results!$Q$2:$Q$226,0),25),INDEX(Results!$B$2:$AA$226,MATCH(RankPoints!S$4&amp;RankPoints!$B16,Results!$P$2:$P$226,0),24))),S16,IF(ISERROR(INDEX(Results!$B$2:$AA$226,MATCH(RankPoints!S$4&amp;RankPoints!$B16,Results!$P$2:$P$226,0),24)),INDEX(Results!$B$2:$AA$226,MATCH(RankPoints!S$4&amp;RankPoints!$B16,Results!$Q$2:$Q$226,0),25),INDEX(Results!$B$2:$AA$226,MATCH(RankPoints!S$4&amp;RankPoints!$B16,Results!$P$2:$P$226,0),24)))</f>
        <v>-1516</v>
      </c>
      <c r="T17" s="116">
        <f>IF(ISERROR(IF(ISERROR(INDEX(Results!$B$2:$AA$226,MATCH(RankPoints!T$4&amp;RankPoints!$B16,Results!$P$2:$P$226,0),24)),INDEX(Results!$B$2:$AA$226,MATCH(RankPoints!T$4&amp;RankPoints!$B16,Results!$Q$2:$Q$226,0),25),INDEX(Results!$B$2:$AA$226,MATCH(RankPoints!T$4&amp;RankPoints!$B16,Results!$P$2:$P$226,0),24))),T16,IF(ISERROR(INDEX(Results!$B$2:$AA$226,MATCH(RankPoints!T$4&amp;RankPoints!$B16,Results!$P$2:$P$226,0),24)),INDEX(Results!$B$2:$AA$226,MATCH(RankPoints!T$4&amp;RankPoints!$B16,Results!$Q$2:$Q$226,0),25),INDEX(Results!$B$2:$AA$226,MATCH(RankPoints!T$4&amp;RankPoints!$B16,Results!$P$2:$P$226,0),24)))</f>
        <v>1500</v>
      </c>
      <c r="U17" s="116">
        <f>IF(ISERROR(IF(ISERROR(INDEX(Results!$B$2:$AA$226,MATCH(RankPoints!U$4&amp;RankPoints!$B16,Results!$P$2:$P$226,0),24)),INDEX(Results!$B$2:$AA$226,MATCH(RankPoints!U$4&amp;RankPoints!$B16,Results!$Q$2:$Q$226,0),25),INDEX(Results!$B$2:$AA$226,MATCH(RankPoints!U$4&amp;RankPoints!$B16,Results!$P$2:$P$226,0),24))),U16,IF(ISERROR(INDEX(Results!$B$2:$AA$226,MATCH(RankPoints!U$4&amp;RankPoints!$B16,Results!$P$2:$P$226,0),24)),INDEX(Results!$B$2:$AA$226,MATCH(RankPoints!U$4&amp;RankPoints!$B16,Results!$Q$2:$Q$226,0),25),INDEX(Results!$B$2:$AA$226,MATCH(RankPoints!U$4&amp;RankPoints!$B16,Results!$P$2:$P$226,0),24)))</f>
        <v>1500</v>
      </c>
      <c r="V17" s="116">
        <f>IF(ISERROR(IF(ISERROR(INDEX(Results!$B$2:$AA$226,MATCH(RankPoints!V$4&amp;RankPoints!$B16,Results!$P$2:$P$226,0),24)),INDEX(Results!$B$2:$AA$226,MATCH(RankPoints!V$4&amp;RankPoints!$B16,Results!$Q$2:$Q$226,0),25),INDEX(Results!$B$2:$AA$226,MATCH(RankPoints!V$4&amp;RankPoints!$B16,Results!$P$2:$P$226,0),24))),V16,IF(ISERROR(INDEX(Results!$B$2:$AA$226,MATCH(RankPoints!V$4&amp;RankPoints!$B16,Results!$P$2:$P$226,0),24)),INDEX(Results!$B$2:$AA$226,MATCH(RankPoints!V$4&amp;RankPoints!$B16,Results!$Q$2:$Q$226,0),25),INDEX(Results!$B$2:$AA$226,MATCH(RankPoints!V$4&amp;RankPoints!$B16,Results!$P$2:$P$226,0),24)))</f>
        <v>1516</v>
      </c>
      <c r="W17" s="117">
        <f>IF(ISERROR(IF(ISERROR(INDEX(Results!$B$2:$AA$226,MATCH(RankPoints!W$4&amp;RankPoints!$B16,Results!$P$2:$P$226,0),24)),INDEX(Results!$B$2:$AA$226,MATCH(RankPoints!W$4&amp;RankPoints!$B16,Results!$Q$2:$Q$226,0),25),INDEX(Results!$B$2:$AA$226,MATCH(RankPoints!W$4&amp;RankPoints!$B16,Results!$P$2:$P$226,0),24))),W16,IF(ISERROR(INDEX(Results!$B$2:$AA$226,MATCH(RankPoints!W$4&amp;RankPoints!$B16,Results!$P$2:$P$226,0),24)),INDEX(Results!$B$2:$AA$226,MATCH(RankPoints!W$4&amp;RankPoints!$B16,Results!$Q$2:$Q$226,0),25),INDEX(Results!$B$2:$AA$226,MATCH(RankPoints!W$4&amp;RankPoints!$B16,Results!$P$2:$P$226,0),24)))</f>
        <v>1500</v>
      </c>
      <c r="X17" s="118">
        <f>IF(ISERROR(IF(ISERROR(INDEX(Results!$B$2:$AA$226,MATCH(RankPoints!X$4&amp;RankPoints!$B16,Results!$P$2:$P$226,0),24)),INDEX(Results!$B$2:$AA$226,MATCH(RankPoints!X$4&amp;RankPoints!$B16,Results!$Q$2:$Q$226,0),25),INDEX(Results!$B$2:$AA$226,MATCH(RankPoints!X$4&amp;RankPoints!$B16,Results!$P$2:$P$226,0),24))),X16,IF(ISERROR(INDEX(Results!$B$2:$AA$226,MATCH(RankPoints!X$4&amp;RankPoints!$B16,Results!$P$2:$P$226,0),24)),INDEX(Results!$B$2:$AA$226,MATCH(RankPoints!X$4&amp;RankPoints!$B16,Results!$Q$2:$Q$226,0),25),INDEX(Results!$B$2:$AA$226,MATCH(RankPoints!X$4&amp;RankPoints!$B16,Results!$P$2:$P$226,0),24)))</f>
        <v>-104</v>
      </c>
      <c r="Y17" s="116">
        <f>IF(ISERROR(IF(ISERROR(INDEX(Results!$B$2:$AA$226,MATCH(RankPoints!Y$4&amp;RankPoints!$B16,Results!$P$2:$P$226,0),24)),INDEX(Results!$B$2:$AA$226,MATCH(RankPoints!Y$4&amp;RankPoints!$B16,Results!$Q$2:$Q$226,0),25),INDEX(Results!$B$2:$AA$226,MATCH(RankPoints!Y$4&amp;RankPoints!$B16,Results!$P$2:$P$226,0),24))),Y16,IF(ISERROR(INDEX(Results!$B$2:$AA$226,MATCH(RankPoints!Y$4&amp;RankPoints!$B16,Results!$P$2:$P$226,0),24)),INDEX(Results!$B$2:$AA$226,MATCH(RankPoints!Y$4&amp;RankPoints!$B16,Results!$Q$2:$Q$226,0),25),INDEX(Results!$B$2:$AA$226,MATCH(RankPoints!Y$4&amp;RankPoints!$B16,Results!$P$2:$P$226,0),24)))</f>
        <v>-6305</v>
      </c>
      <c r="Z17" s="116">
        <f>IF(ISERROR(IF(ISERROR(INDEX(Results!$B$2:$AA$226,MATCH(RankPoints!Z$4&amp;RankPoints!$B16,Results!$P$2:$P$226,0),24)),INDEX(Results!$B$2:$AA$226,MATCH(RankPoints!Z$4&amp;RankPoints!$B16,Results!$Q$2:$Q$226,0),25),INDEX(Results!$B$2:$AA$226,MATCH(RankPoints!Z$4&amp;RankPoints!$B16,Results!$P$2:$P$226,0),24))),Z16,IF(ISERROR(INDEX(Results!$B$2:$AA$226,MATCH(RankPoints!Z$4&amp;RankPoints!$B16,Results!$P$2:$P$226,0),24)),INDEX(Results!$B$2:$AA$226,MATCH(RankPoints!Z$4&amp;RankPoints!$B16,Results!$Q$2:$Q$226,0),25),INDEX(Results!$B$2:$AA$226,MATCH(RankPoints!Z$4&amp;RankPoints!$B16,Results!$P$2:$P$226,0),24)))</f>
        <v>-2972</v>
      </c>
      <c r="AA17" s="116">
        <f>IF(ISERROR(IF(ISERROR(INDEX(Results!$B$2:$AA$226,MATCH(RankPoints!AA$4&amp;RankPoints!$B16,Results!$P$2:$P$226,0),24)),INDEX(Results!$B$2:$AA$226,MATCH(RankPoints!AA$4&amp;RankPoints!$B16,Results!$Q$2:$Q$226,0),25),INDEX(Results!$B$2:$AA$226,MATCH(RankPoints!AA$4&amp;RankPoints!$B16,Results!$P$2:$P$226,0),24))),AA16,IF(ISERROR(INDEX(Results!$B$2:$AA$226,MATCH(RankPoints!AA$4&amp;RankPoints!$B16,Results!$P$2:$P$226,0),24)),INDEX(Results!$B$2:$AA$226,MATCH(RankPoints!AA$4&amp;RankPoints!$B16,Results!$Q$2:$Q$226,0),25),INDEX(Results!$B$2:$AA$226,MATCH(RankPoints!AA$4&amp;RankPoints!$B16,Results!$P$2:$P$226,0),24)))</f>
        <v>1500</v>
      </c>
      <c r="AB17" s="118">
        <f>IF(ISERROR(IF(ISERROR(INDEX(Results!$B$2:$AA$226,MATCH(RankPoints!AB$4&amp;RankPoints!$B16,Results!$P$2:$P$226,0),24)),INDEX(Results!$B$2:$AA$226,MATCH(RankPoints!AB$4&amp;RankPoints!$B16,Results!$Q$2:$Q$226,0),25),INDEX(Results!$B$2:$AA$226,MATCH(RankPoints!AB$4&amp;RankPoints!$B16,Results!$P$2:$P$226,0),24))),AB16,IF(ISERROR(INDEX(Results!$B$2:$AA$226,MATCH(RankPoints!AB$4&amp;RankPoints!$B16,Results!$P$2:$P$226,0),24)),INDEX(Results!$B$2:$AA$226,MATCH(RankPoints!AB$4&amp;RankPoints!$B16,Results!$Q$2:$Q$226,0),25),INDEX(Results!$B$2:$AA$226,MATCH(RankPoints!AB$4&amp;RankPoints!$B16,Results!$P$2:$P$226,0),24)))</f>
        <v>3212</v>
      </c>
      <c r="AC17" s="116">
        <f>IF(ISERROR(IF(ISERROR(INDEX(Results!$B$2:$AA$226,MATCH(RankPoints!AC$4&amp;RankPoints!$B16,Results!$P$2:$P$226,0),24)),INDEX(Results!$B$2:$AA$226,MATCH(RankPoints!AC$4&amp;RankPoints!$B16,Results!$Q$2:$Q$226,0),25),INDEX(Results!$B$2:$AA$226,MATCH(RankPoints!AC$4&amp;RankPoints!$B16,Results!$P$2:$P$226,0),24))),AC16,IF(ISERROR(INDEX(Results!$B$2:$AA$226,MATCH(RankPoints!AC$4&amp;RankPoints!$B16,Results!$P$2:$P$226,0),24)),INDEX(Results!$B$2:$AA$226,MATCH(RankPoints!AC$4&amp;RankPoints!$B16,Results!$Q$2:$Q$226,0),25),INDEX(Results!$B$2:$AA$226,MATCH(RankPoints!AC$4&amp;RankPoints!$B16,Results!$P$2:$P$226,0),24)))</f>
        <v>1500</v>
      </c>
      <c r="AD17" s="119">
        <f>IF(ISERROR(IF(ISERROR(INDEX(Results!$B$2:$AA$226,MATCH(RankPoints!AD$4&amp;RankPoints!$B16,Results!$P$2:$P$226,0),24)),INDEX(Results!$B$2:$AA$226,MATCH(RankPoints!AD$4&amp;RankPoints!$B16,Results!$Q$2:$Q$226,0),25),INDEX(Results!$B$2:$AA$226,MATCH(RankPoints!AD$4&amp;RankPoints!$B16,Results!$P$2:$P$226,0),24))),AD16,IF(ISERROR(INDEX(Results!$B$2:$AA$226,MATCH(RankPoints!AD$4&amp;RankPoints!$B16,Results!$P$2:$P$226,0),24)),INDEX(Results!$B$2:$AA$226,MATCH(RankPoints!AD$4&amp;RankPoints!$B16,Results!$Q$2:$Q$226,0),25),INDEX(Results!$B$2:$AA$226,MATCH(RankPoints!AD$4&amp;RankPoints!$B16,Results!$P$2:$P$226,0),24)))</f>
        <v>1583</v>
      </c>
      <c r="AE17" s="118">
        <f>IF(ISERROR(IF(ISERROR(INDEX(Results!$B$2:$AA$226,MATCH(RankPoints!AE$4&amp;RankPoints!$B16,Results!$P$2:$P$226,0),24)),INDEX(Results!$B$2:$AA$226,MATCH(RankPoints!AE$4&amp;RankPoints!$B16,Results!$Q$2:$Q$226,0),25),INDEX(Results!$B$2:$AA$226,MATCH(RankPoints!AE$4&amp;RankPoints!$B16,Results!$P$2:$P$226,0),24))),AE16,IF(ISERROR(INDEX(Results!$B$2:$AA$226,MATCH(RankPoints!AE$4&amp;RankPoints!$B16,Results!$P$2:$P$226,0),24)),INDEX(Results!$B$2:$AA$226,MATCH(RankPoints!AE$4&amp;RankPoints!$B16,Results!$Q$2:$Q$226,0),25),INDEX(Results!$B$2:$AA$226,MATCH(RankPoints!AE$4&amp;RankPoints!$B16,Results!$P$2:$P$226,0),24)))</f>
        <v>448</v>
      </c>
      <c r="AF17" s="118">
        <f>IF(ISERROR(IF(ISERROR(INDEX(Results!$B$2:$AA$226,MATCH(RankPoints!AF$4&amp;RankPoints!$B16,Results!$P$2:$P$226,0),24)),INDEX(Results!$B$2:$AA$226,MATCH(RankPoints!AF$4&amp;RankPoints!$B16,Results!$Q$2:$Q$226,0),25),INDEX(Results!$B$2:$AA$226,MATCH(RankPoints!AF$4&amp;RankPoints!$B16,Results!$P$2:$P$226,0),24))),AF16,IF(ISERROR(INDEX(Results!$B$2:$AA$226,MATCH(RankPoints!AF$4&amp;RankPoints!$B16,Results!$P$2:$P$226,0),24)),INDEX(Results!$B$2:$AA$226,MATCH(RankPoints!AF$4&amp;RankPoints!$B16,Results!$Q$2:$Q$226,0),25),INDEX(Results!$B$2:$AA$226,MATCH(RankPoints!AF$4&amp;RankPoints!$B16,Results!$P$2:$P$226,0),24)))</f>
        <v>1411</v>
      </c>
      <c r="AG17" s="116">
        <f>IF(ISERROR(IF(ISERROR(INDEX(Results!$B$2:$AA$226,MATCH(RankPoints!AG$4&amp;RankPoints!$B16,Results!$P$2:$P$226,0),24)),INDEX(Results!$B$2:$AA$226,MATCH(RankPoints!AG$4&amp;RankPoints!$B16,Results!$Q$2:$Q$226,0),25),INDEX(Results!$B$2:$AA$226,MATCH(RankPoints!AG$4&amp;RankPoints!$B16,Results!$P$2:$P$226,0),24))),AG16,IF(ISERROR(INDEX(Results!$B$2:$AA$226,MATCH(RankPoints!AG$4&amp;RankPoints!$B16,Results!$P$2:$P$226,0),24)),INDEX(Results!$B$2:$AA$226,MATCH(RankPoints!AG$4&amp;RankPoints!$B16,Results!$Q$2:$Q$226,0),25),INDEX(Results!$B$2:$AA$226,MATCH(RankPoints!AG$4&amp;RankPoints!$B16,Results!$P$2:$P$226,0),24)))</f>
        <v>326</v>
      </c>
      <c r="AH17" s="116">
        <f>IF(ISERROR(IF(ISERROR(INDEX(Results!$B$2:$AA$226,MATCH(RankPoints!AH$4&amp;RankPoints!$B16,Results!$P$2:$P$226,0),24)),INDEX(Results!$B$2:$AA$226,MATCH(RankPoints!AH$4&amp;RankPoints!$B16,Results!$Q$2:$Q$226,0),25),INDEX(Results!$B$2:$AA$226,MATCH(RankPoints!AH$4&amp;RankPoints!$B16,Results!$P$2:$P$226,0),24))),AH16,IF(ISERROR(INDEX(Results!$B$2:$AA$226,MATCH(RankPoints!AH$4&amp;RankPoints!$B16,Results!$P$2:$P$226,0),24)),INDEX(Results!$B$2:$AA$226,MATCH(RankPoints!AH$4&amp;RankPoints!$B16,Results!$Q$2:$Q$226,0),25),INDEX(Results!$B$2:$AA$226,MATCH(RankPoints!AH$4&amp;RankPoints!$B16,Results!$P$2:$P$226,0),24)))</f>
        <v>1500</v>
      </c>
      <c r="AI17" s="116">
        <f>IF(ISERROR(IF(ISERROR(INDEX(Results!$B$2:$AA$226,MATCH(RankPoints!AI$4&amp;RankPoints!$B16,Results!$P$2:$P$226,0),24)),INDEX(Results!$B$2:$AA$226,MATCH(RankPoints!AI$4&amp;RankPoints!$B16,Results!$Q$2:$Q$226,0),25),INDEX(Results!$B$2:$AA$226,MATCH(RankPoints!AI$4&amp;RankPoints!$B16,Results!$P$2:$P$226,0),24))),AI16,IF(ISERROR(INDEX(Results!$B$2:$AA$226,MATCH(RankPoints!AI$4&amp;RankPoints!$B16,Results!$P$2:$P$226,0),24)),INDEX(Results!$B$2:$AA$226,MATCH(RankPoints!AI$4&amp;RankPoints!$B16,Results!$Q$2:$Q$226,0),25),INDEX(Results!$B$2:$AA$226,MATCH(RankPoints!AI$4&amp;RankPoints!$B16,Results!$P$2:$P$226,0),24)))</f>
        <v>1500</v>
      </c>
      <c r="AJ17" s="118">
        <f>IF(ISERROR(IF(ISERROR(INDEX(Results!$B$2:$AA$226,MATCH(RankPoints!AJ$4&amp;RankPoints!$B16,Results!$P$2:$P$226,0),24)),INDEX(Results!$B$2:$AA$226,MATCH(RankPoints!AJ$4&amp;RankPoints!$B16,Results!$Q$2:$Q$226,0),25),INDEX(Results!$B$2:$AA$226,MATCH(RankPoints!AJ$4&amp;RankPoints!$B16,Results!$P$2:$P$226,0),24))),AJ16,IF(ISERROR(INDEX(Results!$B$2:$AA$226,MATCH(RankPoints!AJ$4&amp;RankPoints!$B16,Results!$P$2:$P$226,0),24)),INDEX(Results!$B$2:$AA$226,MATCH(RankPoints!AJ$4&amp;RankPoints!$B16,Results!$Q$2:$Q$226,0),25),INDEX(Results!$B$2:$AA$226,MATCH(RankPoints!AJ$4&amp;RankPoints!$B16,Results!$P$2:$P$226,0),24)))</f>
        <v>1493</v>
      </c>
      <c r="AK17" s="119">
        <f>IF(ISERROR(IF(ISERROR(INDEX(Results!$B$2:$AA$226,MATCH(RankPoints!AK$4&amp;RankPoints!$B16,Results!$P$2:$P$226,0),24)),INDEX(Results!$B$2:$AA$226,MATCH(RankPoints!AK$4&amp;RankPoints!$B16,Results!$Q$2:$Q$226,0),25),INDEX(Results!$B$2:$AA$226,MATCH(RankPoints!AK$4&amp;RankPoints!$B16,Results!$P$2:$P$226,0),24))),AK16,IF(ISERROR(INDEX(Results!$B$2:$AA$226,MATCH(RankPoints!AK$4&amp;RankPoints!$B16,Results!$P$2:$P$226,0),24)),INDEX(Results!$B$2:$AA$226,MATCH(RankPoints!AK$4&amp;RankPoints!$B16,Results!$Q$2:$Q$226,0),25),INDEX(Results!$B$2:$AA$226,MATCH(RankPoints!AK$4&amp;RankPoints!$B16,Results!$P$2:$P$226,0),24)))</f>
        <v>353</v>
      </c>
    </row>
    <row r="18" spans="2:37" ht="12.75">
      <c r="B18" s="86">
        <v>14</v>
      </c>
      <c r="C18" s="50">
        <f>IF(ISERROR(IF(ISERROR(INDEX(Results!$B$2:$AA$226,MATCH(RankPoints!C$4&amp;RankPoints!$B17,Results!$P$2:$P$226,0),24)),INDEX(Results!$B$2:$AA$226,MATCH(RankPoints!C$4&amp;RankPoints!$B17,Results!$Q$2:$Q$226,0),25),INDEX(Results!$B$2:$AA$226,MATCH(RankPoints!C$4&amp;RankPoints!$B17,Results!$P$2:$P$226,0),24))),C17,IF(ISERROR(INDEX(Results!$B$2:$AA$226,MATCH(RankPoints!C$4&amp;RankPoints!$B17,Results!$P$2:$P$226,0),24)),INDEX(Results!$B$2:$AA$226,MATCH(RankPoints!C$4&amp;RankPoints!$B17,Results!$Q$2:$Q$226,0),25),INDEX(Results!$B$2:$AA$226,MATCH(RankPoints!C$4&amp;RankPoints!$B17,Results!$P$2:$P$226,0),24)))</f>
        <v>1500</v>
      </c>
      <c r="D18" s="106">
        <f>IF(ISERROR(IF(ISERROR(INDEX(Results!$B$2:$AA$226,MATCH(RankPoints!D$4&amp;RankPoints!$B17,Results!$P$2:$P$226,0),24)),INDEX(Results!$B$2:$AA$226,MATCH(RankPoints!D$4&amp;RankPoints!$B17,Results!$Q$2:$Q$226,0),25),INDEX(Results!$B$2:$AA$226,MATCH(RankPoints!D$4&amp;RankPoints!$B17,Results!$P$2:$P$226,0),24))),D17,IF(ISERROR(INDEX(Results!$B$2:$AA$226,MATCH(RankPoints!D$4&amp;RankPoints!$B17,Results!$P$2:$P$226,0),24)),INDEX(Results!$B$2:$AA$226,MATCH(RankPoints!D$4&amp;RankPoints!$B17,Results!$Q$2:$Q$226,0),25),INDEX(Results!$B$2:$AA$226,MATCH(RankPoints!D$4&amp;RankPoints!$B17,Results!$P$2:$P$226,0),24)))</f>
        <v>-1516</v>
      </c>
      <c r="E18" s="106">
        <f>IF(ISERROR(IF(ISERROR(INDEX(Results!$B$2:$AA$226,MATCH(RankPoints!E$4&amp;RankPoints!$B17,Results!$P$2:$P$226,0),24)),INDEX(Results!$B$2:$AA$226,MATCH(RankPoints!E$4&amp;RankPoints!$B17,Results!$Q$2:$Q$226,0),25),INDEX(Results!$B$2:$AA$226,MATCH(RankPoints!E$4&amp;RankPoints!$B17,Results!$P$2:$P$226,0),24))),E17,IF(ISERROR(INDEX(Results!$B$2:$AA$226,MATCH(RankPoints!E$4&amp;RankPoints!$B17,Results!$P$2:$P$226,0),24)),INDEX(Results!$B$2:$AA$226,MATCH(RankPoints!E$4&amp;RankPoints!$B17,Results!$Q$2:$Q$226,0),25),INDEX(Results!$B$2:$AA$226,MATCH(RankPoints!E$4&amp;RankPoints!$B17,Results!$P$2:$P$226,0),24)))</f>
        <v>1731</v>
      </c>
      <c r="F18" s="50">
        <f>IF(ISERROR(IF(ISERROR(INDEX(Results!$B$2:$AA$226,MATCH(RankPoints!F$4&amp;RankPoints!$B17,Results!$P$2:$P$226,0),24)),INDEX(Results!$B$2:$AA$226,MATCH(RankPoints!F$4&amp;RankPoints!$B17,Results!$Q$2:$Q$226,0),25),INDEX(Results!$B$2:$AA$226,MATCH(RankPoints!F$4&amp;RankPoints!$B17,Results!$P$2:$P$226,0),24))),F17,IF(ISERROR(INDEX(Results!$B$2:$AA$226,MATCH(RankPoints!F$4&amp;RankPoints!$B17,Results!$P$2:$P$226,0),24)),INDEX(Results!$B$2:$AA$226,MATCH(RankPoints!F$4&amp;RankPoints!$B17,Results!$Q$2:$Q$226,0),25),INDEX(Results!$B$2:$AA$226,MATCH(RankPoints!F$4&amp;RankPoints!$B17,Results!$P$2:$P$226,0),24)))</f>
        <v>1500</v>
      </c>
      <c r="G18" s="50">
        <f>IF(ISERROR(IF(ISERROR(INDEX(Results!$B$2:$AA$226,MATCH(RankPoints!G$4&amp;RankPoints!$B17,Results!$P$2:$P$226,0),24)),INDEX(Results!$B$2:$AA$226,MATCH(RankPoints!G$4&amp;RankPoints!$B17,Results!$Q$2:$Q$226,0),25),INDEX(Results!$B$2:$AA$226,MATCH(RankPoints!G$4&amp;RankPoints!$B17,Results!$P$2:$P$226,0),24))),G17,IF(ISERROR(INDEX(Results!$B$2:$AA$226,MATCH(RankPoints!G$4&amp;RankPoints!$B17,Results!$P$2:$P$226,0),24)),INDEX(Results!$B$2:$AA$226,MATCH(RankPoints!G$4&amp;RankPoints!$B17,Results!$Q$2:$Q$226,0),25),INDEX(Results!$B$2:$AA$226,MATCH(RankPoints!G$4&amp;RankPoints!$B17,Results!$P$2:$P$226,0),24)))</f>
        <v>1548</v>
      </c>
      <c r="H18" s="50">
        <f>IF(ISERROR(IF(ISERROR(INDEX(Results!$B$2:$AA$226,MATCH(RankPoints!H$4&amp;RankPoints!$B17,Results!$P$2:$P$226,0),24)),INDEX(Results!$B$2:$AA$226,MATCH(RankPoints!H$4&amp;RankPoints!$B17,Results!$Q$2:$Q$226,0),25),INDEX(Results!$B$2:$AA$226,MATCH(RankPoints!H$4&amp;RankPoints!$B17,Results!$P$2:$P$226,0),24))),H17,IF(ISERROR(INDEX(Results!$B$2:$AA$226,MATCH(RankPoints!H$4&amp;RankPoints!$B17,Results!$P$2:$P$226,0),24)),INDEX(Results!$B$2:$AA$226,MATCH(RankPoints!H$4&amp;RankPoints!$B17,Results!$Q$2:$Q$226,0),25),INDEX(Results!$B$2:$AA$226,MATCH(RankPoints!H$4&amp;RankPoints!$B17,Results!$P$2:$P$226,0),24)))</f>
        <v>1651</v>
      </c>
      <c r="I18" s="105">
        <f>IF(ISERROR(IF(ISERROR(INDEX(Results!$B$2:$AA$226,MATCH(RankPoints!I$4&amp;RankPoints!$B17,Results!$P$2:$P$226,0),24)),INDEX(Results!$B$2:$AA$226,MATCH(RankPoints!I$4&amp;RankPoints!$B17,Results!$Q$2:$Q$226,0),25),INDEX(Results!$B$2:$AA$226,MATCH(RankPoints!I$4&amp;RankPoints!$B17,Results!$P$2:$P$226,0),24))),I17,IF(ISERROR(INDEX(Results!$B$2:$AA$226,MATCH(RankPoints!I$4&amp;RankPoints!$B17,Results!$P$2:$P$226,0),24)),INDEX(Results!$B$2:$AA$226,MATCH(RankPoints!I$4&amp;RankPoints!$B17,Results!$Q$2:$Q$226,0),25),INDEX(Results!$B$2:$AA$226,MATCH(RankPoints!I$4&amp;RankPoints!$B17,Results!$P$2:$P$226,0),24)))</f>
        <v>1500</v>
      </c>
      <c r="J18" s="106">
        <f>IF(ISERROR(IF(ISERROR(INDEX(Results!$B$2:$AA$226,MATCH(RankPoints!J$4&amp;RankPoints!$B17,Results!$P$2:$P$226,0),24)),INDEX(Results!$B$2:$AA$226,MATCH(RankPoints!J$4&amp;RankPoints!$B17,Results!$Q$2:$Q$226,0),25),INDEX(Results!$B$2:$AA$226,MATCH(RankPoints!J$4&amp;RankPoints!$B17,Results!$P$2:$P$226,0),24))),J17,IF(ISERROR(INDEX(Results!$B$2:$AA$226,MATCH(RankPoints!J$4&amp;RankPoints!$B17,Results!$P$2:$P$226,0),24)),INDEX(Results!$B$2:$AA$226,MATCH(RankPoints!J$4&amp;RankPoints!$B17,Results!$Q$2:$Q$226,0),25),INDEX(Results!$B$2:$AA$226,MATCH(RankPoints!J$4&amp;RankPoints!$B17,Results!$P$2:$P$226,0),24)))</f>
        <v>2635</v>
      </c>
      <c r="K18" s="50">
        <f>IF(ISERROR(IF(ISERROR(INDEX(Results!$B$2:$AA$226,MATCH(RankPoints!K$4&amp;RankPoints!$B17,Results!$P$2:$P$226,0),24)),INDEX(Results!$B$2:$AA$226,MATCH(RankPoints!K$4&amp;RankPoints!$B17,Results!$Q$2:$Q$226,0),25),INDEX(Results!$B$2:$AA$226,MATCH(RankPoints!K$4&amp;RankPoints!$B17,Results!$P$2:$P$226,0),24))),K17,IF(ISERROR(INDEX(Results!$B$2:$AA$226,MATCH(RankPoints!K$4&amp;RankPoints!$B17,Results!$P$2:$P$226,0),24)),INDEX(Results!$B$2:$AA$226,MATCH(RankPoints!K$4&amp;RankPoints!$B17,Results!$Q$2:$Q$226,0),25),INDEX(Results!$B$2:$AA$226,MATCH(RankPoints!K$4&amp;RankPoints!$B17,Results!$P$2:$P$226,0),24)))</f>
        <v>1500</v>
      </c>
      <c r="L18" s="50">
        <f>IF(ISERROR(IF(ISERROR(INDEX(Results!$B$2:$AA$226,MATCH(RankPoints!L$4&amp;RankPoints!$B17,Results!$P$2:$P$226,0),24)),INDEX(Results!$B$2:$AA$226,MATCH(RankPoints!L$4&amp;RankPoints!$B17,Results!$Q$2:$Q$226,0),25),INDEX(Results!$B$2:$AA$226,MATCH(RankPoints!L$4&amp;RankPoints!$B17,Results!$P$2:$P$226,0),24))),L17,IF(ISERROR(INDEX(Results!$B$2:$AA$226,MATCH(RankPoints!L$4&amp;RankPoints!$B17,Results!$P$2:$P$226,0),24)),INDEX(Results!$B$2:$AA$226,MATCH(RankPoints!L$4&amp;RankPoints!$B17,Results!$Q$2:$Q$226,0),25),INDEX(Results!$B$2:$AA$226,MATCH(RankPoints!L$4&amp;RankPoints!$B17,Results!$P$2:$P$226,0),24)))</f>
        <v>1500</v>
      </c>
      <c r="M18" s="106">
        <f>IF(ISERROR(IF(ISERROR(INDEX(Results!$B$2:$AA$226,MATCH(RankPoints!M$4&amp;RankPoints!$B17,Results!$P$2:$P$226,0),24)),INDEX(Results!$B$2:$AA$226,MATCH(RankPoints!M$4&amp;RankPoints!$B17,Results!$Q$2:$Q$226,0),25),INDEX(Results!$B$2:$AA$226,MATCH(RankPoints!M$4&amp;RankPoints!$B17,Results!$P$2:$P$226,0),24))),M17,IF(ISERROR(INDEX(Results!$B$2:$AA$226,MATCH(RankPoints!M$4&amp;RankPoints!$B17,Results!$P$2:$P$226,0),24)),INDEX(Results!$B$2:$AA$226,MATCH(RankPoints!M$4&amp;RankPoints!$B17,Results!$Q$2:$Q$226,0),25),INDEX(Results!$B$2:$AA$226,MATCH(RankPoints!M$4&amp;RankPoints!$B17,Results!$P$2:$P$226,0),24)))</f>
        <v>-1287</v>
      </c>
      <c r="N18" s="106">
        <f>IF(ISERROR(IF(ISERROR(INDEX(Results!$B$2:$AA$226,MATCH(RankPoints!N$4&amp;RankPoints!$B17,Results!$P$2:$P$226,0),24)),INDEX(Results!$B$2:$AA$226,MATCH(RankPoints!N$4&amp;RankPoints!$B17,Results!$Q$2:$Q$226,0),25),INDEX(Results!$B$2:$AA$226,MATCH(RankPoints!N$4&amp;RankPoints!$B17,Results!$P$2:$P$226,0),24))),N17,IF(ISERROR(INDEX(Results!$B$2:$AA$226,MATCH(RankPoints!N$4&amp;RankPoints!$B17,Results!$P$2:$P$226,0),24)),INDEX(Results!$B$2:$AA$226,MATCH(RankPoints!N$4&amp;RankPoints!$B17,Results!$Q$2:$Q$226,0),25),INDEX(Results!$B$2:$AA$226,MATCH(RankPoints!N$4&amp;RankPoints!$B17,Results!$P$2:$P$226,0),24)))</f>
        <v>2850</v>
      </c>
      <c r="O18" s="50">
        <f>IF(ISERROR(IF(ISERROR(INDEX(Results!$B$2:$AA$226,MATCH(RankPoints!O$4&amp;RankPoints!$B17,Results!$P$2:$P$226,0),24)),INDEX(Results!$B$2:$AA$226,MATCH(RankPoints!O$4&amp;RankPoints!$B17,Results!$Q$2:$Q$226,0),25),INDEX(Results!$B$2:$AA$226,MATCH(RankPoints!O$4&amp;RankPoints!$B17,Results!$P$2:$P$226,0),24))),O17,IF(ISERROR(INDEX(Results!$B$2:$AA$226,MATCH(RankPoints!O$4&amp;RankPoints!$B17,Results!$P$2:$P$226,0),24)),INDEX(Results!$B$2:$AA$226,MATCH(RankPoints!O$4&amp;RankPoints!$B17,Results!$Q$2:$Q$226,0),25),INDEX(Results!$B$2:$AA$226,MATCH(RankPoints!O$4&amp;RankPoints!$B17,Results!$P$2:$P$226,0),24)))</f>
        <v>1500</v>
      </c>
      <c r="P18" s="105">
        <f>IF(ISERROR(IF(ISERROR(INDEX(Results!$B$2:$AA$226,MATCH(RankPoints!P$4&amp;RankPoints!$B17,Results!$P$2:$P$226,0),24)),INDEX(Results!$B$2:$AA$226,MATCH(RankPoints!P$4&amp;RankPoints!$B17,Results!$Q$2:$Q$226,0),25),INDEX(Results!$B$2:$AA$226,MATCH(RankPoints!P$4&amp;RankPoints!$B17,Results!$P$2:$P$226,0),24))),P17,IF(ISERROR(INDEX(Results!$B$2:$AA$226,MATCH(RankPoints!P$4&amp;RankPoints!$B17,Results!$P$2:$P$226,0),24)),INDEX(Results!$B$2:$AA$226,MATCH(RankPoints!P$4&amp;RankPoints!$B17,Results!$Q$2:$Q$226,0),25),INDEX(Results!$B$2:$AA$226,MATCH(RankPoints!P$4&amp;RankPoints!$B17,Results!$P$2:$P$226,0),24)))</f>
        <v>1500</v>
      </c>
      <c r="Q18" s="50">
        <f>IF(ISERROR(IF(ISERROR(INDEX(Results!$B$2:$AA$226,MATCH(RankPoints!Q$4&amp;RankPoints!$B17,Results!$P$2:$P$226,0),24)),INDEX(Results!$B$2:$AA$226,MATCH(RankPoints!Q$4&amp;RankPoints!$B17,Results!$Q$2:$Q$226,0),25),INDEX(Results!$B$2:$AA$226,MATCH(RankPoints!Q$4&amp;RankPoints!$B17,Results!$P$2:$P$226,0),24))),Q17,IF(ISERROR(INDEX(Results!$B$2:$AA$226,MATCH(RankPoints!Q$4&amp;RankPoints!$B17,Results!$P$2:$P$226,0),24)),INDEX(Results!$B$2:$AA$226,MATCH(RankPoints!Q$4&amp;RankPoints!$B17,Results!$Q$2:$Q$226,0),25),INDEX(Results!$B$2:$AA$226,MATCH(RankPoints!Q$4&amp;RankPoints!$B17,Results!$P$2:$P$226,0),24)))</f>
        <v>1500</v>
      </c>
      <c r="R18" s="50">
        <f>IF(ISERROR(IF(ISERROR(INDEX(Results!$B$2:$AA$226,MATCH(RankPoints!R$4&amp;RankPoints!$B17,Results!$P$2:$P$226,0),24)),INDEX(Results!$B$2:$AA$226,MATCH(RankPoints!R$4&amp;RankPoints!$B17,Results!$Q$2:$Q$226,0),25),INDEX(Results!$B$2:$AA$226,MATCH(RankPoints!R$4&amp;RankPoints!$B17,Results!$P$2:$P$226,0),24))),R17,IF(ISERROR(INDEX(Results!$B$2:$AA$226,MATCH(RankPoints!R$4&amp;RankPoints!$B17,Results!$P$2:$P$226,0),24)),INDEX(Results!$B$2:$AA$226,MATCH(RankPoints!R$4&amp;RankPoints!$B17,Results!$Q$2:$Q$226,0),25),INDEX(Results!$B$2:$AA$226,MATCH(RankPoints!R$4&amp;RankPoints!$B17,Results!$P$2:$P$226,0),24)))</f>
        <v>1500</v>
      </c>
      <c r="S18" s="50">
        <f>IF(ISERROR(IF(ISERROR(INDEX(Results!$B$2:$AA$226,MATCH(RankPoints!S$4&amp;RankPoints!$B17,Results!$P$2:$P$226,0),24)),INDEX(Results!$B$2:$AA$226,MATCH(RankPoints!S$4&amp;RankPoints!$B17,Results!$Q$2:$Q$226,0),25),INDEX(Results!$B$2:$AA$226,MATCH(RankPoints!S$4&amp;RankPoints!$B17,Results!$P$2:$P$226,0),24))),S17,IF(ISERROR(INDEX(Results!$B$2:$AA$226,MATCH(RankPoints!S$4&amp;RankPoints!$B17,Results!$P$2:$P$226,0),24)),INDEX(Results!$B$2:$AA$226,MATCH(RankPoints!S$4&amp;RankPoints!$B17,Results!$Q$2:$Q$226,0),25),INDEX(Results!$B$2:$AA$226,MATCH(RankPoints!S$4&amp;RankPoints!$B17,Results!$P$2:$P$226,0),24)))</f>
        <v>-1516</v>
      </c>
      <c r="T18" s="50">
        <f>IF(ISERROR(IF(ISERROR(INDEX(Results!$B$2:$AA$226,MATCH(RankPoints!T$4&amp;RankPoints!$B17,Results!$P$2:$P$226,0),24)),INDEX(Results!$B$2:$AA$226,MATCH(RankPoints!T$4&amp;RankPoints!$B17,Results!$Q$2:$Q$226,0),25),INDEX(Results!$B$2:$AA$226,MATCH(RankPoints!T$4&amp;RankPoints!$B17,Results!$P$2:$P$226,0),24))),T17,IF(ISERROR(INDEX(Results!$B$2:$AA$226,MATCH(RankPoints!T$4&amp;RankPoints!$B17,Results!$P$2:$P$226,0),24)),INDEX(Results!$B$2:$AA$226,MATCH(RankPoints!T$4&amp;RankPoints!$B17,Results!$Q$2:$Q$226,0),25),INDEX(Results!$B$2:$AA$226,MATCH(RankPoints!T$4&amp;RankPoints!$B17,Results!$P$2:$P$226,0),24)))</f>
        <v>1500</v>
      </c>
      <c r="U18" s="50">
        <f>IF(ISERROR(IF(ISERROR(INDEX(Results!$B$2:$AA$226,MATCH(RankPoints!U$4&amp;RankPoints!$B17,Results!$P$2:$P$226,0),24)),INDEX(Results!$B$2:$AA$226,MATCH(RankPoints!U$4&amp;RankPoints!$B17,Results!$Q$2:$Q$226,0),25),INDEX(Results!$B$2:$AA$226,MATCH(RankPoints!U$4&amp;RankPoints!$B17,Results!$P$2:$P$226,0),24))),U17,IF(ISERROR(INDEX(Results!$B$2:$AA$226,MATCH(RankPoints!U$4&amp;RankPoints!$B17,Results!$P$2:$P$226,0),24)),INDEX(Results!$B$2:$AA$226,MATCH(RankPoints!U$4&amp;RankPoints!$B17,Results!$Q$2:$Q$226,0),25),INDEX(Results!$B$2:$AA$226,MATCH(RankPoints!U$4&amp;RankPoints!$B17,Results!$P$2:$P$226,0),24)))</f>
        <v>1500</v>
      </c>
      <c r="V18" s="50">
        <f>IF(ISERROR(IF(ISERROR(INDEX(Results!$B$2:$AA$226,MATCH(RankPoints!V$4&amp;RankPoints!$B17,Results!$P$2:$P$226,0),24)),INDEX(Results!$B$2:$AA$226,MATCH(RankPoints!V$4&amp;RankPoints!$B17,Results!$Q$2:$Q$226,0),25),INDEX(Results!$B$2:$AA$226,MATCH(RankPoints!V$4&amp;RankPoints!$B17,Results!$P$2:$P$226,0),24))),V17,IF(ISERROR(INDEX(Results!$B$2:$AA$226,MATCH(RankPoints!V$4&amp;RankPoints!$B17,Results!$P$2:$P$226,0),24)),INDEX(Results!$B$2:$AA$226,MATCH(RankPoints!V$4&amp;RankPoints!$B17,Results!$Q$2:$Q$226,0),25),INDEX(Results!$B$2:$AA$226,MATCH(RankPoints!V$4&amp;RankPoints!$B17,Results!$P$2:$P$226,0),24)))</f>
        <v>1516</v>
      </c>
      <c r="W18" s="105">
        <f>IF(ISERROR(IF(ISERROR(INDEX(Results!$B$2:$AA$226,MATCH(RankPoints!W$4&amp;RankPoints!$B17,Results!$P$2:$P$226,0),24)),INDEX(Results!$B$2:$AA$226,MATCH(RankPoints!W$4&amp;RankPoints!$B17,Results!$Q$2:$Q$226,0),25),INDEX(Results!$B$2:$AA$226,MATCH(RankPoints!W$4&amp;RankPoints!$B17,Results!$P$2:$P$226,0),24))),W17,IF(ISERROR(INDEX(Results!$B$2:$AA$226,MATCH(RankPoints!W$4&amp;RankPoints!$B17,Results!$P$2:$P$226,0),24)),INDEX(Results!$B$2:$AA$226,MATCH(RankPoints!W$4&amp;RankPoints!$B17,Results!$Q$2:$Q$226,0),25),INDEX(Results!$B$2:$AA$226,MATCH(RankPoints!W$4&amp;RankPoints!$B17,Results!$P$2:$P$226,0),24)))</f>
        <v>1500</v>
      </c>
      <c r="X18" s="106">
        <f>IF(ISERROR(IF(ISERROR(INDEX(Results!$B$2:$AA$226,MATCH(RankPoints!X$4&amp;RankPoints!$B17,Results!$P$2:$P$226,0),24)),INDEX(Results!$B$2:$AA$226,MATCH(RankPoints!X$4&amp;RankPoints!$B17,Results!$Q$2:$Q$226,0),25),INDEX(Results!$B$2:$AA$226,MATCH(RankPoints!X$4&amp;RankPoints!$B17,Results!$P$2:$P$226,0),24))),X17,IF(ISERROR(INDEX(Results!$B$2:$AA$226,MATCH(RankPoints!X$4&amp;RankPoints!$B17,Results!$P$2:$P$226,0),24)),INDEX(Results!$B$2:$AA$226,MATCH(RankPoints!X$4&amp;RankPoints!$B17,Results!$Q$2:$Q$226,0),25),INDEX(Results!$B$2:$AA$226,MATCH(RankPoints!X$4&amp;RankPoints!$B17,Results!$P$2:$P$226,0),24)))</f>
        <v>-104</v>
      </c>
      <c r="Y18" s="50">
        <f>IF(ISERROR(IF(ISERROR(INDEX(Results!$B$2:$AA$226,MATCH(RankPoints!Y$4&amp;RankPoints!$B17,Results!$P$2:$P$226,0),24)),INDEX(Results!$B$2:$AA$226,MATCH(RankPoints!Y$4&amp;RankPoints!$B17,Results!$Q$2:$Q$226,0),25),INDEX(Results!$B$2:$AA$226,MATCH(RankPoints!Y$4&amp;RankPoints!$B17,Results!$P$2:$P$226,0),24))),Y17,IF(ISERROR(INDEX(Results!$B$2:$AA$226,MATCH(RankPoints!Y$4&amp;RankPoints!$B17,Results!$P$2:$P$226,0),24)),INDEX(Results!$B$2:$AA$226,MATCH(RankPoints!Y$4&amp;RankPoints!$B17,Results!$Q$2:$Q$226,0),25),INDEX(Results!$B$2:$AA$226,MATCH(RankPoints!Y$4&amp;RankPoints!$B17,Results!$P$2:$P$226,0),24)))</f>
        <v>-6305</v>
      </c>
      <c r="Z18" s="50">
        <f>IF(ISERROR(IF(ISERROR(INDEX(Results!$B$2:$AA$226,MATCH(RankPoints!Z$4&amp;RankPoints!$B17,Results!$P$2:$P$226,0),24)),INDEX(Results!$B$2:$AA$226,MATCH(RankPoints!Z$4&amp;RankPoints!$B17,Results!$Q$2:$Q$226,0),25),INDEX(Results!$B$2:$AA$226,MATCH(RankPoints!Z$4&amp;RankPoints!$B17,Results!$P$2:$P$226,0),24))),Z17,IF(ISERROR(INDEX(Results!$B$2:$AA$226,MATCH(RankPoints!Z$4&amp;RankPoints!$B17,Results!$P$2:$P$226,0),24)),INDEX(Results!$B$2:$AA$226,MATCH(RankPoints!Z$4&amp;RankPoints!$B17,Results!$Q$2:$Q$226,0),25),INDEX(Results!$B$2:$AA$226,MATCH(RankPoints!Z$4&amp;RankPoints!$B17,Results!$P$2:$P$226,0),24)))</f>
        <v>-2972</v>
      </c>
      <c r="AA18" s="50">
        <f>IF(ISERROR(IF(ISERROR(INDEX(Results!$B$2:$AA$226,MATCH(RankPoints!AA$4&amp;RankPoints!$B17,Results!$P$2:$P$226,0),24)),INDEX(Results!$B$2:$AA$226,MATCH(RankPoints!AA$4&amp;RankPoints!$B17,Results!$Q$2:$Q$226,0),25),INDEX(Results!$B$2:$AA$226,MATCH(RankPoints!AA$4&amp;RankPoints!$B17,Results!$P$2:$P$226,0),24))),AA17,IF(ISERROR(INDEX(Results!$B$2:$AA$226,MATCH(RankPoints!AA$4&amp;RankPoints!$B17,Results!$P$2:$P$226,0),24)),INDEX(Results!$B$2:$AA$226,MATCH(RankPoints!AA$4&amp;RankPoints!$B17,Results!$Q$2:$Q$226,0),25),INDEX(Results!$B$2:$AA$226,MATCH(RankPoints!AA$4&amp;RankPoints!$B17,Results!$P$2:$P$226,0),24)))</f>
        <v>1500</v>
      </c>
      <c r="AB18" s="106">
        <f>IF(ISERROR(IF(ISERROR(INDEX(Results!$B$2:$AA$226,MATCH(RankPoints!AB$4&amp;RankPoints!$B17,Results!$P$2:$P$226,0),24)),INDEX(Results!$B$2:$AA$226,MATCH(RankPoints!AB$4&amp;RankPoints!$B17,Results!$Q$2:$Q$226,0),25),INDEX(Results!$B$2:$AA$226,MATCH(RankPoints!AB$4&amp;RankPoints!$B17,Results!$P$2:$P$226,0),24))),AB17,IF(ISERROR(INDEX(Results!$B$2:$AA$226,MATCH(RankPoints!AB$4&amp;RankPoints!$B17,Results!$P$2:$P$226,0),24)),INDEX(Results!$B$2:$AA$226,MATCH(RankPoints!AB$4&amp;RankPoints!$B17,Results!$Q$2:$Q$226,0),25),INDEX(Results!$B$2:$AA$226,MATCH(RankPoints!AB$4&amp;RankPoints!$B17,Results!$P$2:$P$226,0),24)))</f>
        <v>3212</v>
      </c>
      <c r="AC18" s="50">
        <f>IF(ISERROR(IF(ISERROR(INDEX(Results!$B$2:$AA$226,MATCH(RankPoints!AC$4&amp;RankPoints!$B17,Results!$P$2:$P$226,0),24)),INDEX(Results!$B$2:$AA$226,MATCH(RankPoints!AC$4&amp;RankPoints!$B17,Results!$Q$2:$Q$226,0),25),INDEX(Results!$B$2:$AA$226,MATCH(RankPoints!AC$4&amp;RankPoints!$B17,Results!$P$2:$P$226,0),24))),AC17,IF(ISERROR(INDEX(Results!$B$2:$AA$226,MATCH(RankPoints!AC$4&amp;RankPoints!$B17,Results!$P$2:$P$226,0),24)),INDEX(Results!$B$2:$AA$226,MATCH(RankPoints!AC$4&amp;RankPoints!$B17,Results!$Q$2:$Q$226,0),25),INDEX(Results!$B$2:$AA$226,MATCH(RankPoints!AC$4&amp;RankPoints!$B17,Results!$P$2:$P$226,0),24)))</f>
        <v>1500</v>
      </c>
      <c r="AD18" s="107">
        <f>IF(ISERROR(IF(ISERROR(INDEX(Results!$B$2:$AA$226,MATCH(RankPoints!AD$4&amp;RankPoints!$B17,Results!$P$2:$P$226,0),24)),INDEX(Results!$B$2:$AA$226,MATCH(RankPoints!AD$4&amp;RankPoints!$B17,Results!$Q$2:$Q$226,0),25),INDEX(Results!$B$2:$AA$226,MATCH(RankPoints!AD$4&amp;RankPoints!$B17,Results!$P$2:$P$226,0),24))),AD17,IF(ISERROR(INDEX(Results!$B$2:$AA$226,MATCH(RankPoints!AD$4&amp;RankPoints!$B17,Results!$P$2:$P$226,0),24)),INDEX(Results!$B$2:$AA$226,MATCH(RankPoints!AD$4&amp;RankPoints!$B17,Results!$Q$2:$Q$226,0),25),INDEX(Results!$B$2:$AA$226,MATCH(RankPoints!AD$4&amp;RankPoints!$B17,Results!$P$2:$P$226,0),24)))</f>
        <v>1583</v>
      </c>
      <c r="AE18" s="106">
        <f>IF(ISERROR(IF(ISERROR(INDEX(Results!$B$2:$AA$226,MATCH(RankPoints!AE$4&amp;RankPoints!$B17,Results!$P$2:$P$226,0),24)),INDEX(Results!$B$2:$AA$226,MATCH(RankPoints!AE$4&amp;RankPoints!$B17,Results!$Q$2:$Q$226,0),25),INDEX(Results!$B$2:$AA$226,MATCH(RankPoints!AE$4&amp;RankPoints!$B17,Results!$P$2:$P$226,0),24))),AE17,IF(ISERROR(INDEX(Results!$B$2:$AA$226,MATCH(RankPoints!AE$4&amp;RankPoints!$B17,Results!$P$2:$P$226,0),24)),INDEX(Results!$B$2:$AA$226,MATCH(RankPoints!AE$4&amp;RankPoints!$B17,Results!$Q$2:$Q$226,0),25),INDEX(Results!$B$2:$AA$226,MATCH(RankPoints!AE$4&amp;RankPoints!$B17,Results!$P$2:$P$226,0),24)))</f>
        <v>448</v>
      </c>
      <c r="AF18" s="106">
        <f>IF(ISERROR(IF(ISERROR(INDEX(Results!$B$2:$AA$226,MATCH(RankPoints!AF$4&amp;RankPoints!$B17,Results!$P$2:$P$226,0),24)),INDEX(Results!$B$2:$AA$226,MATCH(RankPoints!AF$4&amp;RankPoints!$B17,Results!$Q$2:$Q$226,0),25),INDEX(Results!$B$2:$AA$226,MATCH(RankPoints!AF$4&amp;RankPoints!$B17,Results!$P$2:$P$226,0),24))),AF17,IF(ISERROR(INDEX(Results!$B$2:$AA$226,MATCH(RankPoints!AF$4&amp;RankPoints!$B17,Results!$P$2:$P$226,0),24)),INDEX(Results!$B$2:$AA$226,MATCH(RankPoints!AF$4&amp;RankPoints!$B17,Results!$Q$2:$Q$226,0),25),INDEX(Results!$B$2:$AA$226,MATCH(RankPoints!AF$4&amp;RankPoints!$B17,Results!$P$2:$P$226,0),24)))</f>
        <v>1411</v>
      </c>
      <c r="AG18" s="50">
        <f>IF(ISERROR(IF(ISERROR(INDEX(Results!$B$2:$AA$226,MATCH(RankPoints!AG$4&amp;RankPoints!$B17,Results!$P$2:$P$226,0),24)),INDEX(Results!$B$2:$AA$226,MATCH(RankPoints!AG$4&amp;RankPoints!$B17,Results!$Q$2:$Q$226,0),25),INDEX(Results!$B$2:$AA$226,MATCH(RankPoints!AG$4&amp;RankPoints!$B17,Results!$P$2:$P$226,0),24))),AG17,IF(ISERROR(INDEX(Results!$B$2:$AA$226,MATCH(RankPoints!AG$4&amp;RankPoints!$B17,Results!$P$2:$P$226,0),24)),INDEX(Results!$B$2:$AA$226,MATCH(RankPoints!AG$4&amp;RankPoints!$B17,Results!$Q$2:$Q$226,0),25),INDEX(Results!$B$2:$AA$226,MATCH(RankPoints!AG$4&amp;RankPoints!$B17,Results!$P$2:$P$226,0),24)))</f>
        <v>326</v>
      </c>
      <c r="AH18" s="50">
        <f>IF(ISERROR(IF(ISERROR(INDEX(Results!$B$2:$AA$226,MATCH(RankPoints!AH$4&amp;RankPoints!$B17,Results!$P$2:$P$226,0),24)),INDEX(Results!$B$2:$AA$226,MATCH(RankPoints!AH$4&amp;RankPoints!$B17,Results!$Q$2:$Q$226,0),25),INDEX(Results!$B$2:$AA$226,MATCH(RankPoints!AH$4&amp;RankPoints!$B17,Results!$P$2:$P$226,0),24))),AH17,IF(ISERROR(INDEX(Results!$B$2:$AA$226,MATCH(RankPoints!AH$4&amp;RankPoints!$B17,Results!$P$2:$P$226,0),24)),INDEX(Results!$B$2:$AA$226,MATCH(RankPoints!AH$4&amp;RankPoints!$B17,Results!$Q$2:$Q$226,0),25),INDEX(Results!$B$2:$AA$226,MATCH(RankPoints!AH$4&amp;RankPoints!$B17,Results!$P$2:$P$226,0),24)))</f>
        <v>1500</v>
      </c>
      <c r="AI18" s="50">
        <f>IF(ISERROR(IF(ISERROR(INDEX(Results!$B$2:$AA$226,MATCH(RankPoints!AI$4&amp;RankPoints!$B17,Results!$P$2:$P$226,0),24)),INDEX(Results!$B$2:$AA$226,MATCH(RankPoints!AI$4&amp;RankPoints!$B17,Results!$Q$2:$Q$226,0),25),INDEX(Results!$B$2:$AA$226,MATCH(RankPoints!AI$4&amp;RankPoints!$B17,Results!$P$2:$P$226,0),24))),AI17,IF(ISERROR(INDEX(Results!$B$2:$AA$226,MATCH(RankPoints!AI$4&amp;RankPoints!$B17,Results!$P$2:$P$226,0),24)),INDEX(Results!$B$2:$AA$226,MATCH(RankPoints!AI$4&amp;RankPoints!$B17,Results!$Q$2:$Q$226,0),25),INDEX(Results!$B$2:$AA$226,MATCH(RankPoints!AI$4&amp;RankPoints!$B17,Results!$P$2:$P$226,0),24)))</f>
        <v>1500</v>
      </c>
      <c r="AJ18" s="106">
        <f>IF(ISERROR(IF(ISERROR(INDEX(Results!$B$2:$AA$226,MATCH(RankPoints!AJ$4&amp;RankPoints!$B17,Results!$P$2:$P$226,0),24)),INDEX(Results!$B$2:$AA$226,MATCH(RankPoints!AJ$4&amp;RankPoints!$B17,Results!$Q$2:$Q$226,0),25),INDEX(Results!$B$2:$AA$226,MATCH(RankPoints!AJ$4&amp;RankPoints!$B17,Results!$P$2:$P$226,0),24))),AJ17,IF(ISERROR(INDEX(Results!$B$2:$AA$226,MATCH(RankPoints!AJ$4&amp;RankPoints!$B17,Results!$P$2:$P$226,0),24)),INDEX(Results!$B$2:$AA$226,MATCH(RankPoints!AJ$4&amp;RankPoints!$B17,Results!$Q$2:$Q$226,0),25),INDEX(Results!$B$2:$AA$226,MATCH(RankPoints!AJ$4&amp;RankPoints!$B17,Results!$P$2:$P$226,0),24)))</f>
        <v>1493</v>
      </c>
      <c r="AK18" s="107">
        <f>IF(ISERROR(IF(ISERROR(INDEX(Results!$B$2:$AA$226,MATCH(RankPoints!AK$4&amp;RankPoints!$B17,Results!$P$2:$P$226,0),24)),INDEX(Results!$B$2:$AA$226,MATCH(RankPoints!AK$4&amp;RankPoints!$B17,Results!$Q$2:$Q$226,0),25),INDEX(Results!$B$2:$AA$226,MATCH(RankPoints!AK$4&amp;RankPoints!$B17,Results!$P$2:$P$226,0),24))),AK17,IF(ISERROR(INDEX(Results!$B$2:$AA$226,MATCH(RankPoints!AK$4&amp;RankPoints!$B17,Results!$P$2:$P$226,0),24)),INDEX(Results!$B$2:$AA$226,MATCH(RankPoints!AK$4&amp;RankPoints!$B17,Results!$Q$2:$Q$226,0),25),INDEX(Results!$B$2:$AA$226,MATCH(RankPoints!AK$4&amp;RankPoints!$B17,Results!$P$2:$P$226,0),24)))</f>
        <v>353</v>
      </c>
    </row>
    <row r="19" spans="2:37" ht="12.75">
      <c r="B19" s="86">
        <v>15</v>
      </c>
      <c r="C19" s="50">
        <f>IF(ISERROR(IF(ISERROR(INDEX(Results!$B$2:$AA$226,MATCH(RankPoints!C$4&amp;RankPoints!$B18,Results!$P$2:$P$226,0),24)),INDEX(Results!$B$2:$AA$226,MATCH(RankPoints!C$4&amp;RankPoints!$B18,Results!$Q$2:$Q$226,0),25),INDEX(Results!$B$2:$AA$226,MATCH(RankPoints!C$4&amp;RankPoints!$B18,Results!$P$2:$P$226,0),24))),C18,IF(ISERROR(INDEX(Results!$B$2:$AA$226,MATCH(RankPoints!C$4&amp;RankPoints!$B18,Results!$P$2:$P$226,0),24)),INDEX(Results!$B$2:$AA$226,MATCH(RankPoints!C$4&amp;RankPoints!$B18,Results!$Q$2:$Q$226,0),25),INDEX(Results!$B$2:$AA$226,MATCH(RankPoints!C$4&amp;RankPoints!$B18,Results!$P$2:$P$226,0),24)))</f>
        <v>1500</v>
      </c>
      <c r="D19" s="106">
        <f>IF(ISERROR(IF(ISERROR(INDEX(Results!$B$2:$AA$226,MATCH(RankPoints!D$4&amp;RankPoints!$B18,Results!$P$2:$P$226,0),24)),INDEX(Results!$B$2:$AA$226,MATCH(RankPoints!D$4&amp;RankPoints!$B18,Results!$Q$2:$Q$226,0),25),INDEX(Results!$B$2:$AA$226,MATCH(RankPoints!D$4&amp;RankPoints!$B18,Results!$P$2:$P$226,0),24))),D18,IF(ISERROR(INDEX(Results!$B$2:$AA$226,MATCH(RankPoints!D$4&amp;RankPoints!$B18,Results!$P$2:$P$226,0),24)),INDEX(Results!$B$2:$AA$226,MATCH(RankPoints!D$4&amp;RankPoints!$B18,Results!$Q$2:$Q$226,0),25),INDEX(Results!$B$2:$AA$226,MATCH(RankPoints!D$4&amp;RankPoints!$B18,Results!$P$2:$P$226,0),24)))</f>
        <v>-1516</v>
      </c>
      <c r="E19" s="106">
        <f>IF(ISERROR(IF(ISERROR(INDEX(Results!$B$2:$AA$226,MATCH(RankPoints!E$4&amp;RankPoints!$B18,Results!$P$2:$P$226,0),24)),INDEX(Results!$B$2:$AA$226,MATCH(RankPoints!E$4&amp;RankPoints!$B18,Results!$Q$2:$Q$226,0),25),INDEX(Results!$B$2:$AA$226,MATCH(RankPoints!E$4&amp;RankPoints!$B18,Results!$P$2:$P$226,0),24))),E18,IF(ISERROR(INDEX(Results!$B$2:$AA$226,MATCH(RankPoints!E$4&amp;RankPoints!$B18,Results!$P$2:$P$226,0),24)),INDEX(Results!$B$2:$AA$226,MATCH(RankPoints!E$4&amp;RankPoints!$B18,Results!$Q$2:$Q$226,0),25),INDEX(Results!$B$2:$AA$226,MATCH(RankPoints!E$4&amp;RankPoints!$B18,Results!$P$2:$P$226,0),24)))</f>
        <v>1731</v>
      </c>
      <c r="F19" s="50">
        <f>IF(ISERROR(IF(ISERROR(INDEX(Results!$B$2:$AA$226,MATCH(RankPoints!F$4&amp;RankPoints!$B18,Results!$P$2:$P$226,0),24)),INDEX(Results!$B$2:$AA$226,MATCH(RankPoints!F$4&amp;RankPoints!$B18,Results!$Q$2:$Q$226,0),25),INDEX(Results!$B$2:$AA$226,MATCH(RankPoints!F$4&amp;RankPoints!$B18,Results!$P$2:$P$226,0),24))),F18,IF(ISERROR(INDEX(Results!$B$2:$AA$226,MATCH(RankPoints!F$4&amp;RankPoints!$B18,Results!$P$2:$P$226,0),24)),INDEX(Results!$B$2:$AA$226,MATCH(RankPoints!F$4&amp;RankPoints!$B18,Results!$Q$2:$Q$226,0),25),INDEX(Results!$B$2:$AA$226,MATCH(RankPoints!F$4&amp;RankPoints!$B18,Results!$P$2:$P$226,0),24)))</f>
        <v>1500</v>
      </c>
      <c r="G19" s="50">
        <f>IF(ISERROR(IF(ISERROR(INDEX(Results!$B$2:$AA$226,MATCH(RankPoints!G$4&amp;RankPoints!$B18,Results!$P$2:$P$226,0),24)),INDEX(Results!$B$2:$AA$226,MATCH(RankPoints!G$4&amp;RankPoints!$B18,Results!$Q$2:$Q$226,0),25),INDEX(Results!$B$2:$AA$226,MATCH(RankPoints!G$4&amp;RankPoints!$B18,Results!$P$2:$P$226,0),24))),G18,IF(ISERROR(INDEX(Results!$B$2:$AA$226,MATCH(RankPoints!G$4&amp;RankPoints!$B18,Results!$P$2:$P$226,0),24)),INDEX(Results!$B$2:$AA$226,MATCH(RankPoints!G$4&amp;RankPoints!$B18,Results!$Q$2:$Q$226,0),25),INDEX(Results!$B$2:$AA$226,MATCH(RankPoints!G$4&amp;RankPoints!$B18,Results!$P$2:$P$226,0),24)))</f>
        <v>1548</v>
      </c>
      <c r="H19" s="50">
        <f>IF(ISERROR(IF(ISERROR(INDEX(Results!$B$2:$AA$226,MATCH(RankPoints!H$4&amp;RankPoints!$B18,Results!$P$2:$P$226,0),24)),INDEX(Results!$B$2:$AA$226,MATCH(RankPoints!H$4&amp;RankPoints!$B18,Results!$Q$2:$Q$226,0),25),INDEX(Results!$B$2:$AA$226,MATCH(RankPoints!H$4&amp;RankPoints!$B18,Results!$P$2:$P$226,0),24))),H18,IF(ISERROR(INDEX(Results!$B$2:$AA$226,MATCH(RankPoints!H$4&amp;RankPoints!$B18,Results!$P$2:$P$226,0),24)),INDEX(Results!$B$2:$AA$226,MATCH(RankPoints!H$4&amp;RankPoints!$B18,Results!$Q$2:$Q$226,0),25),INDEX(Results!$B$2:$AA$226,MATCH(RankPoints!H$4&amp;RankPoints!$B18,Results!$P$2:$P$226,0),24)))</f>
        <v>1651</v>
      </c>
      <c r="I19" s="105">
        <f>IF(ISERROR(IF(ISERROR(INDEX(Results!$B$2:$AA$226,MATCH(RankPoints!I$4&amp;RankPoints!$B18,Results!$P$2:$P$226,0),24)),INDEX(Results!$B$2:$AA$226,MATCH(RankPoints!I$4&amp;RankPoints!$B18,Results!$Q$2:$Q$226,0),25),INDEX(Results!$B$2:$AA$226,MATCH(RankPoints!I$4&amp;RankPoints!$B18,Results!$P$2:$P$226,0),24))),I18,IF(ISERROR(INDEX(Results!$B$2:$AA$226,MATCH(RankPoints!I$4&amp;RankPoints!$B18,Results!$P$2:$P$226,0),24)),INDEX(Results!$B$2:$AA$226,MATCH(RankPoints!I$4&amp;RankPoints!$B18,Results!$Q$2:$Q$226,0),25),INDEX(Results!$B$2:$AA$226,MATCH(RankPoints!I$4&amp;RankPoints!$B18,Results!$P$2:$P$226,0),24)))</f>
        <v>1500</v>
      </c>
      <c r="J19" s="106">
        <f>IF(ISERROR(IF(ISERROR(INDEX(Results!$B$2:$AA$226,MATCH(RankPoints!J$4&amp;RankPoints!$B18,Results!$P$2:$P$226,0),24)),INDEX(Results!$B$2:$AA$226,MATCH(RankPoints!J$4&amp;RankPoints!$B18,Results!$Q$2:$Q$226,0),25),INDEX(Results!$B$2:$AA$226,MATCH(RankPoints!J$4&amp;RankPoints!$B18,Results!$P$2:$P$226,0),24))),J18,IF(ISERROR(INDEX(Results!$B$2:$AA$226,MATCH(RankPoints!J$4&amp;RankPoints!$B18,Results!$P$2:$P$226,0),24)),INDEX(Results!$B$2:$AA$226,MATCH(RankPoints!J$4&amp;RankPoints!$B18,Results!$Q$2:$Q$226,0),25),INDEX(Results!$B$2:$AA$226,MATCH(RankPoints!J$4&amp;RankPoints!$B18,Results!$P$2:$P$226,0),24)))</f>
        <v>2635</v>
      </c>
      <c r="K19" s="50">
        <f>IF(ISERROR(IF(ISERROR(INDEX(Results!$B$2:$AA$226,MATCH(RankPoints!K$4&amp;RankPoints!$B18,Results!$P$2:$P$226,0),24)),INDEX(Results!$B$2:$AA$226,MATCH(RankPoints!K$4&amp;RankPoints!$B18,Results!$Q$2:$Q$226,0),25),INDEX(Results!$B$2:$AA$226,MATCH(RankPoints!K$4&amp;RankPoints!$B18,Results!$P$2:$P$226,0),24))),K18,IF(ISERROR(INDEX(Results!$B$2:$AA$226,MATCH(RankPoints!K$4&amp;RankPoints!$B18,Results!$P$2:$P$226,0),24)),INDEX(Results!$B$2:$AA$226,MATCH(RankPoints!K$4&amp;RankPoints!$B18,Results!$Q$2:$Q$226,0),25),INDEX(Results!$B$2:$AA$226,MATCH(RankPoints!K$4&amp;RankPoints!$B18,Results!$P$2:$P$226,0),24)))</f>
        <v>1500</v>
      </c>
      <c r="L19" s="50">
        <f>IF(ISERROR(IF(ISERROR(INDEX(Results!$B$2:$AA$226,MATCH(RankPoints!L$4&amp;RankPoints!$B18,Results!$P$2:$P$226,0),24)),INDEX(Results!$B$2:$AA$226,MATCH(RankPoints!L$4&amp;RankPoints!$B18,Results!$Q$2:$Q$226,0),25),INDEX(Results!$B$2:$AA$226,MATCH(RankPoints!L$4&amp;RankPoints!$B18,Results!$P$2:$P$226,0),24))),L18,IF(ISERROR(INDEX(Results!$B$2:$AA$226,MATCH(RankPoints!L$4&amp;RankPoints!$B18,Results!$P$2:$P$226,0),24)),INDEX(Results!$B$2:$AA$226,MATCH(RankPoints!L$4&amp;RankPoints!$B18,Results!$Q$2:$Q$226,0),25),INDEX(Results!$B$2:$AA$226,MATCH(RankPoints!L$4&amp;RankPoints!$B18,Results!$P$2:$P$226,0),24)))</f>
        <v>1500</v>
      </c>
      <c r="M19" s="106">
        <f>IF(ISERROR(IF(ISERROR(INDEX(Results!$B$2:$AA$226,MATCH(RankPoints!M$4&amp;RankPoints!$B18,Results!$P$2:$P$226,0),24)),INDEX(Results!$B$2:$AA$226,MATCH(RankPoints!M$4&amp;RankPoints!$B18,Results!$Q$2:$Q$226,0),25),INDEX(Results!$B$2:$AA$226,MATCH(RankPoints!M$4&amp;RankPoints!$B18,Results!$P$2:$P$226,0),24))),M18,IF(ISERROR(INDEX(Results!$B$2:$AA$226,MATCH(RankPoints!M$4&amp;RankPoints!$B18,Results!$P$2:$P$226,0),24)),INDEX(Results!$B$2:$AA$226,MATCH(RankPoints!M$4&amp;RankPoints!$B18,Results!$Q$2:$Q$226,0),25),INDEX(Results!$B$2:$AA$226,MATCH(RankPoints!M$4&amp;RankPoints!$B18,Results!$P$2:$P$226,0),24)))</f>
        <v>-1287</v>
      </c>
      <c r="N19" s="106">
        <f>IF(ISERROR(IF(ISERROR(INDEX(Results!$B$2:$AA$226,MATCH(RankPoints!N$4&amp;RankPoints!$B18,Results!$P$2:$P$226,0),24)),INDEX(Results!$B$2:$AA$226,MATCH(RankPoints!N$4&amp;RankPoints!$B18,Results!$Q$2:$Q$226,0),25),INDEX(Results!$B$2:$AA$226,MATCH(RankPoints!N$4&amp;RankPoints!$B18,Results!$P$2:$P$226,0),24))),N18,IF(ISERROR(INDEX(Results!$B$2:$AA$226,MATCH(RankPoints!N$4&amp;RankPoints!$B18,Results!$P$2:$P$226,0),24)),INDEX(Results!$B$2:$AA$226,MATCH(RankPoints!N$4&amp;RankPoints!$B18,Results!$Q$2:$Q$226,0),25),INDEX(Results!$B$2:$AA$226,MATCH(RankPoints!N$4&amp;RankPoints!$B18,Results!$P$2:$P$226,0),24)))</f>
        <v>2850</v>
      </c>
      <c r="O19" s="50">
        <f>IF(ISERROR(IF(ISERROR(INDEX(Results!$B$2:$AA$226,MATCH(RankPoints!O$4&amp;RankPoints!$B18,Results!$P$2:$P$226,0),24)),INDEX(Results!$B$2:$AA$226,MATCH(RankPoints!O$4&amp;RankPoints!$B18,Results!$Q$2:$Q$226,0),25),INDEX(Results!$B$2:$AA$226,MATCH(RankPoints!O$4&amp;RankPoints!$B18,Results!$P$2:$P$226,0),24))),O18,IF(ISERROR(INDEX(Results!$B$2:$AA$226,MATCH(RankPoints!O$4&amp;RankPoints!$B18,Results!$P$2:$P$226,0),24)),INDEX(Results!$B$2:$AA$226,MATCH(RankPoints!O$4&amp;RankPoints!$B18,Results!$Q$2:$Q$226,0),25),INDEX(Results!$B$2:$AA$226,MATCH(RankPoints!O$4&amp;RankPoints!$B18,Results!$P$2:$P$226,0),24)))</f>
        <v>1500</v>
      </c>
      <c r="P19" s="105">
        <f>IF(ISERROR(IF(ISERROR(INDEX(Results!$B$2:$AA$226,MATCH(RankPoints!P$4&amp;RankPoints!$B18,Results!$P$2:$P$226,0),24)),INDEX(Results!$B$2:$AA$226,MATCH(RankPoints!P$4&amp;RankPoints!$B18,Results!$Q$2:$Q$226,0),25),INDEX(Results!$B$2:$AA$226,MATCH(RankPoints!P$4&amp;RankPoints!$B18,Results!$P$2:$P$226,0),24))),P18,IF(ISERROR(INDEX(Results!$B$2:$AA$226,MATCH(RankPoints!P$4&amp;RankPoints!$B18,Results!$P$2:$P$226,0),24)),INDEX(Results!$B$2:$AA$226,MATCH(RankPoints!P$4&amp;RankPoints!$B18,Results!$Q$2:$Q$226,0),25),INDEX(Results!$B$2:$AA$226,MATCH(RankPoints!P$4&amp;RankPoints!$B18,Results!$P$2:$P$226,0),24)))</f>
        <v>1500</v>
      </c>
      <c r="Q19" s="50">
        <f>IF(ISERROR(IF(ISERROR(INDEX(Results!$B$2:$AA$226,MATCH(RankPoints!Q$4&amp;RankPoints!$B18,Results!$P$2:$P$226,0),24)),INDEX(Results!$B$2:$AA$226,MATCH(RankPoints!Q$4&amp;RankPoints!$B18,Results!$Q$2:$Q$226,0),25),INDEX(Results!$B$2:$AA$226,MATCH(RankPoints!Q$4&amp;RankPoints!$B18,Results!$P$2:$P$226,0),24))),Q18,IF(ISERROR(INDEX(Results!$B$2:$AA$226,MATCH(RankPoints!Q$4&amp;RankPoints!$B18,Results!$P$2:$P$226,0),24)),INDEX(Results!$B$2:$AA$226,MATCH(RankPoints!Q$4&amp;RankPoints!$B18,Results!$Q$2:$Q$226,0),25),INDEX(Results!$B$2:$AA$226,MATCH(RankPoints!Q$4&amp;RankPoints!$B18,Results!$P$2:$P$226,0),24)))</f>
        <v>1500</v>
      </c>
      <c r="R19" s="50">
        <f>IF(ISERROR(IF(ISERROR(INDEX(Results!$B$2:$AA$226,MATCH(RankPoints!R$4&amp;RankPoints!$B18,Results!$P$2:$P$226,0),24)),INDEX(Results!$B$2:$AA$226,MATCH(RankPoints!R$4&amp;RankPoints!$B18,Results!$Q$2:$Q$226,0),25),INDEX(Results!$B$2:$AA$226,MATCH(RankPoints!R$4&amp;RankPoints!$B18,Results!$P$2:$P$226,0),24))),R18,IF(ISERROR(INDEX(Results!$B$2:$AA$226,MATCH(RankPoints!R$4&amp;RankPoints!$B18,Results!$P$2:$P$226,0),24)),INDEX(Results!$B$2:$AA$226,MATCH(RankPoints!R$4&amp;RankPoints!$B18,Results!$Q$2:$Q$226,0),25),INDEX(Results!$B$2:$AA$226,MATCH(RankPoints!R$4&amp;RankPoints!$B18,Results!$P$2:$P$226,0),24)))</f>
        <v>1500</v>
      </c>
      <c r="S19" s="50">
        <f>IF(ISERROR(IF(ISERROR(INDEX(Results!$B$2:$AA$226,MATCH(RankPoints!S$4&amp;RankPoints!$B18,Results!$P$2:$P$226,0),24)),INDEX(Results!$B$2:$AA$226,MATCH(RankPoints!S$4&amp;RankPoints!$B18,Results!$Q$2:$Q$226,0),25),INDEX(Results!$B$2:$AA$226,MATCH(RankPoints!S$4&amp;RankPoints!$B18,Results!$P$2:$P$226,0),24))),S18,IF(ISERROR(INDEX(Results!$B$2:$AA$226,MATCH(RankPoints!S$4&amp;RankPoints!$B18,Results!$P$2:$P$226,0),24)),INDEX(Results!$B$2:$AA$226,MATCH(RankPoints!S$4&amp;RankPoints!$B18,Results!$Q$2:$Q$226,0),25),INDEX(Results!$B$2:$AA$226,MATCH(RankPoints!S$4&amp;RankPoints!$B18,Results!$P$2:$P$226,0),24)))</f>
        <v>-1516</v>
      </c>
      <c r="T19" s="50">
        <f>IF(ISERROR(IF(ISERROR(INDEX(Results!$B$2:$AA$226,MATCH(RankPoints!T$4&amp;RankPoints!$B18,Results!$P$2:$P$226,0),24)),INDEX(Results!$B$2:$AA$226,MATCH(RankPoints!T$4&amp;RankPoints!$B18,Results!$Q$2:$Q$226,0),25),INDEX(Results!$B$2:$AA$226,MATCH(RankPoints!T$4&amp;RankPoints!$B18,Results!$P$2:$P$226,0),24))),T18,IF(ISERROR(INDEX(Results!$B$2:$AA$226,MATCH(RankPoints!T$4&amp;RankPoints!$B18,Results!$P$2:$P$226,0),24)),INDEX(Results!$B$2:$AA$226,MATCH(RankPoints!T$4&amp;RankPoints!$B18,Results!$Q$2:$Q$226,0),25),INDEX(Results!$B$2:$AA$226,MATCH(RankPoints!T$4&amp;RankPoints!$B18,Results!$P$2:$P$226,0),24)))</f>
        <v>1500</v>
      </c>
      <c r="U19" s="50">
        <f>IF(ISERROR(IF(ISERROR(INDEX(Results!$B$2:$AA$226,MATCH(RankPoints!U$4&amp;RankPoints!$B18,Results!$P$2:$P$226,0),24)),INDEX(Results!$B$2:$AA$226,MATCH(RankPoints!U$4&amp;RankPoints!$B18,Results!$Q$2:$Q$226,0),25),INDEX(Results!$B$2:$AA$226,MATCH(RankPoints!U$4&amp;RankPoints!$B18,Results!$P$2:$P$226,0),24))),U18,IF(ISERROR(INDEX(Results!$B$2:$AA$226,MATCH(RankPoints!U$4&amp;RankPoints!$B18,Results!$P$2:$P$226,0),24)),INDEX(Results!$B$2:$AA$226,MATCH(RankPoints!U$4&amp;RankPoints!$B18,Results!$Q$2:$Q$226,0),25),INDEX(Results!$B$2:$AA$226,MATCH(RankPoints!U$4&amp;RankPoints!$B18,Results!$P$2:$P$226,0),24)))</f>
        <v>1500</v>
      </c>
      <c r="V19" s="50">
        <f>IF(ISERROR(IF(ISERROR(INDEX(Results!$B$2:$AA$226,MATCH(RankPoints!V$4&amp;RankPoints!$B18,Results!$P$2:$P$226,0),24)),INDEX(Results!$B$2:$AA$226,MATCH(RankPoints!V$4&amp;RankPoints!$B18,Results!$Q$2:$Q$226,0),25),INDEX(Results!$B$2:$AA$226,MATCH(RankPoints!V$4&amp;RankPoints!$B18,Results!$P$2:$P$226,0),24))),V18,IF(ISERROR(INDEX(Results!$B$2:$AA$226,MATCH(RankPoints!V$4&amp;RankPoints!$B18,Results!$P$2:$P$226,0),24)),INDEX(Results!$B$2:$AA$226,MATCH(RankPoints!V$4&amp;RankPoints!$B18,Results!$Q$2:$Q$226,0),25),INDEX(Results!$B$2:$AA$226,MATCH(RankPoints!V$4&amp;RankPoints!$B18,Results!$P$2:$P$226,0),24)))</f>
        <v>1516</v>
      </c>
      <c r="W19" s="105">
        <f>IF(ISERROR(IF(ISERROR(INDEX(Results!$B$2:$AA$226,MATCH(RankPoints!W$4&amp;RankPoints!$B18,Results!$P$2:$P$226,0),24)),INDEX(Results!$B$2:$AA$226,MATCH(RankPoints!W$4&amp;RankPoints!$B18,Results!$Q$2:$Q$226,0),25),INDEX(Results!$B$2:$AA$226,MATCH(RankPoints!W$4&amp;RankPoints!$B18,Results!$P$2:$P$226,0),24))),W18,IF(ISERROR(INDEX(Results!$B$2:$AA$226,MATCH(RankPoints!W$4&amp;RankPoints!$B18,Results!$P$2:$P$226,0),24)),INDEX(Results!$B$2:$AA$226,MATCH(RankPoints!W$4&amp;RankPoints!$B18,Results!$Q$2:$Q$226,0),25),INDEX(Results!$B$2:$AA$226,MATCH(RankPoints!W$4&amp;RankPoints!$B18,Results!$P$2:$P$226,0),24)))</f>
        <v>1500</v>
      </c>
      <c r="X19" s="106">
        <f>IF(ISERROR(IF(ISERROR(INDEX(Results!$B$2:$AA$226,MATCH(RankPoints!X$4&amp;RankPoints!$B18,Results!$P$2:$P$226,0),24)),INDEX(Results!$B$2:$AA$226,MATCH(RankPoints!X$4&amp;RankPoints!$B18,Results!$Q$2:$Q$226,0),25),INDEX(Results!$B$2:$AA$226,MATCH(RankPoints!X$4&amp;RankPoints!$B18,Results!$P$2:$P$226,0),24))),X18,IF(ISERROR(INDEX(Results!$B$2:$AA$226,MATCH(RankPoints!X$4&amp;RankPoints!$B18,Results!$P$2:$P$226,0),24)),INDEX(Results!$B$2:$AA$226,MATCH(RankPoints!X$4&amp;RankPoints!$B18,Results!$Q$2:$Q$226,0),25),INDEX(Results!$B$2:$AA$226,MATCH(RankPoints!X$4&amp;RankPoints!$B18,Results!$P$2:$P$226,0),24)))</f>
        <v>-104</v>
      </c>
      <c r="Y19" s="50">
        <f>IF(ISERROR(IF(ISERROR(INDEX(Results!$B$2:$AA$226,MATCH(RankPoints!Y$4&amp;RankPoints!$B18,Results!$P$2:$P$226,0),24)),INDEX(Results!$B$2:$AA$226,MATCH(RankPoints!Y$4&amp;RankPoints!$B18,Results!$Q$2:$Q$226,0),25),INDEX(Results!$B$2:$AA$226,MATCH(RankPoints!Y$4&amp;RankPoints!$B18,Results!$P$2:$P$226,0),24))),Y18,IF(ISERROR(INDEX(Results!$B$2:$AA$226,MATCH(RankPoints!Y$4&amp;RankPoints!$B18,Results!$P$2:$P$226,0),24)),INDEX(Results!$B$2:$AA$226,MATCH(RankPoints!Y$4&amp;RankPoints!$B18,Results!$Q$2:$Q$226,0),25),INDEX(Results!$B$2:$AA$226,MATCH(RankPoints!Y$4&amp;RankPoints!$B18,Results!$P$2:$P$226,0),24)))</f>
        <v>-6305</v>
      </c>
      <c r="Z19" s="50">
        <f>IF(ISERROR(IF(ISERROR(INDEX(Results!$B$2:$AA$226,MATCH(RankPoints!Z$4&amp;RankPoints!$B18,Results!$P$2:$P$226,0),24)),INDEX(Results!$B$2:$AA$226,MATCH(RankPoints!Z$4&amp;RankPoints!$B18,Results!$Q$2:$Q$226,0),25),INDEX(Results!$B$2:$AA$226,MATCH(RankPoints!Z$4&amp;RankPoints!$B18,Results!$P$2:$P$226,0),24))),Z18,IF(ISERROR(INDEX(Results!$B$2:$AA$226,MATCH(RankPoints!Z$4&amp;RankPoints!$B18,Results!$P$2:$P$226,0),24)),INDEX(Results!$B$2:$AA$226,MATCH(RankPoints!Z$4&amp;RankPoints!$B18,Results!$Q$2:$Q$226,0),25),INDEX(Results!$B$2:$AA$226,MATCH(RankPoints!Z$4&amp;RankPoints!$B18,Results!$P$2:$P$226,0),24)))</f>
        <v>-2972</v>
      </c>
      <c r="AA19" s="50">
        <f>IF(ISERROR(IF(ISERROR(INDEX(Results!$B$2:$AA$226,MATCH(RankPoints!AA$4&amp;RankPoints!$B18,Results!$P$2:$P$226,0),24)),INDEX(Results!$B$2:$AA$226,MATCH(RankPoints!AA$4&amp;RankPoints!$B18,Results!$Q$2:$Q$226,0),25),INDEX(Results!$B$2:$AA$226,MATCH(RankPoints!AA$4&amp;RankPoints!$B18,Results!$P$2:$P$226,0),24))),AA18,IF(ISERROR(INDEX(Results!$B$2:$AA$226,MATCH(RankPoints!AA$4&amp;RankPoints!$B18,Results!$P$2:$P$226,0),24)),INDEX(Results!$B$2:$AA$226,MATCH(RankPoints!AA$4&amp;RankPoints!$B18,Results!$Q$2:$Q$226,0),25),INDEX(Results!$B$2:$AA$226,MATCH(RankPoints!AA$4&amp;RankPoints!$B18,Results!$P$2:$P$226,0),24)))</f>
        <v>1500</v>
      </c>
      <c r="AB19" s="106">
        <f>IF(ISERROR(IF(ISERROR(INDEX(Results!$B$2:$AA$226,MATCH(RankPoints!AB$4&amp;RankPoints!$B18,Results!$P$2:$P$226,0),24)),INDEX(Results!$B$2:$AA$226,MATCH(RankPoints!AB$4&amp;RankPoints!$B18,Results!$Q$2:$Q$226,0),25),INDEX(Results!$B$2:$AA$226,MATCH(RankPoints!AB$4&amp;RankPoints!$B18,Results!$P$2:$P$226,0),24))),AB18,IF(ISERROR(INDEX(Results!$B$2:$AA$226,MATCH(RankPoints!AB$4&amp;RankPoints!$B18,Results!$P$2:$P$226,0),24)),INDEX(Results!$B$2:$AA$226,MATCH(RankPoints!AB$4&amp;RankPoints!$B18,Results!$Q$2:$Q$226,0),25),INDEX(Results!$B$2:$AA$226,MATCH(RankPoints!AB$4&amp;RankPoints!$B18,Results!$P$2:$P$226,0),24)))</f>
        <v>3212</v>
      </c>
      <c r="AC19" s="50">
        <f>IF(ISERROR(IF(ISERROR(INDEX(Results!$B$2:$AA$226,MATCH(RankPoints!AC$4&amp;RankPoints!$B18,Results!$P$2:$P$226,0),24)),INDEX(Results!$B$2:$AA$226,MATCH(RankPoints!AC$4&amp;RankPoints!$B18,Results!$Q$2:$Q$226,0),25),INDEX(Results!$B$2:$AA$226,MATCH(RankPoints!AC$4&amp;RankPoints!$B18,Results!$P$2:$P$226,0),24))),AC18,IF(ISERROR(INDEX(Results!$B$2:$AA$226,MATCH(RankPoints!AC$4&amp;RankPoints!$B18,Results!$P$2:$P$226,0),24)),INDEX(Results!$B$2:$AA$226,MATCH(RankPoints!AC$4&amp;RankPoints!$B18,Results!$Q$2:$Q$226,0),25),INDEX(Results!$B$2:$AA$226,MATCH(RankPoints!AC$4&amp;RankPoints!$B18,Results!$P$2:$P$226,0),24)))</f>
        <v>1500</v>
      </c>
      <c r="AD19" s="107">
        <f>IF(ISERROR(IF(ISERROR(INDEX(Results!$B$2:$AA$226,MATCH(RankPoints!AD$4&amp;RankPoints!$B18,Results!$P$2:$P$226,0),24)),INDEX(Results!$B$2:$AA$226,MATCH(RankPoints!AD$4&amp;RankPoints!$B18,Results!$Q$2:$Q$226,0),25),INDEX(Results!$B$2:$AA$226,MATCH(RankPoints!AD$4&amp;RankPoints!$B18,Results!$P$2:$P$226,0),24))),AD18,IF(ISERROR(INDEX(Results!$B$2:$AA$226,MATCH(RankPoints!AD$4&amp;RankPoints!$B18,Results!$P$2:$P$226,0),24)),INDEX(Results!$B$2:$AA$226,MATCH(RankPoints!AD$4&amp;RankPoints!$B18,Results!$Q$2:$Q$226,0),25),INDEX(Results!$B$2:$AA$226,MATCH(RankPoints!AD$4&amp;RankPoints!$B18,Results!$P$2:$P$226,0),24)))</f>
        <v>1583</v>
      </c>
      <c r="AE19" s="106">
        <f>IF(ISERROR(IF(ISERROR(INDEX(Results!$B$2:$AA$226,MATCH(RankPoints!AE$4&amp;RankPoints!$B18,Results!$P$2:$P$226,0),24)),INDEX(Results!$B$2:$AA$226,MATCH(RankPoints!AE$4&amp;RankPoints!$B18,Results!$Q$2:$Q$226,0),25),INDEX(Results!$B$2:$AA$226,MATCH(RankPoints!AE$4&amp;RankPoints!$B18,Results!$P$2:$P$226,0),24))),AE18,IF(ISERROR(INDEX(Results!$B$2:$AA$226,MATCH(RankPoints!AE$4&amp;RankPoints!$B18,Results!$P$2:$P$226,0),24)),INDEX(Results!$B$2:$AA$226,MATCH(RankPoints!AE$4&amp;RankPoints!$B18,Results!$Q$2:$Q$226,0),25),INDEX(Results!$B$2:$AA$226,MATCH(RankPoints!AE$4&amp;RankPoints!$B18,Results!$P$2:$P$226,0),24)))</f>
        <v>448</v>
      </c>
      <c r="AF19" s="106">
        <f>IF(ISERROR(IF(ISERROR(INDEX(Results!$B$2:$AA$226,MATCH(RankPoints!AF$4&amp;RankPoints!$B18,Results!$P$2:$P$226,0),24)),INDEX(Results!$B$2:$AA$226,MATCH(RankPoints!AF$4&amp;RankPoints!$B18,Results!$Q$2:$Q$226,0),25),INDEX(Results!$B$2:$AA$226,MATCH(RankPoints!AF$4&amp;RankPoints!$B18,Results!$P$2:$P$226,0),24))),AF18,IF(ISERROR(INDEX(Results!$B$2:$AA$226,MATCH(RankPoints!AF$4&amp;RankPoints!$B18,Results!$P$2:$P$226,0),24)),INDEX(Results!$B$2:$AA$226,MATCH(RankPoints!AF$4&amp;RankPoints!$B18,Results!$Q$2:$Q$226,0),25),INDEX(Results!$B$2:$AA$226,MATCH(RankPoints!AF$4&amp;RankPoints!$B18,Results!$P$2:$P$226,0),24)))</f>
        <v>1411</v>
      </c>
      <c r="AG19" s="50">
        <f>IF(ISERROR(IF(ISERROR(INDEX(Results!$B$2:$AA$226,MATCH(RankPoints!AG$4&amp;RankPoints!$B18,Results!$P$2:$P$226,0),24)),INDEX(Results!$B$2:$AA$226,MATCH(RankPoints!AG$4&amp;RankPoints!$B18,Results!$Q$2:$Q$226,0),25),INDEX(Results!$B$2:$AA$226,MATCH(RankPoints!AG$4&amp;RankPoints!$B18,Results!$P$2:$P$226,0),24))),AG18,IF(ISERROR(INDEX(Results!$B$2:$AA$226,MATCH(RankPoints!AG$4&amp;RankPoints!$B18,Results!$P$2:$P$226,0),24)),INDEX(Results!$B$2:$AA$226,MATCH(RankPoints!AG$4&amp;RankPoints!$B18,Results!$Q$2:$Q$226,0),25),INDEX(Results!$B$2:$AA$226,MATCH(RankPoints!AG$4&amp;RankPoints!$B18,Results!$P$2:$P$226,0),24)))</f>
        <v>326</v>
      </c>
      <c r="AH19" s="50">
        <f>IF(ISERROR(IF(ISERROR(INDEX(Results!$B$2:$AA$226,MATCH(RankPoints!AH$4&amp;RankPoints!$B18,Results!$P$2:$P$226,0),24)),INDEX(Results!$B$2:$AA$226,MATCH(RankPoints!AH$4&amp;RankPoints!$B18,Results!$Q$2:$Q$226,0),25),INDEX(Results!$B$2:$AA$226,MATCH(RankPoints!AH$4&amp;RankPoints!$B18,Results!$P$2:$P$226,0),24))),AH18,IF(ISERROR(INDEX(Results!$B$2:$AA$226,MATCH(RankPoints!AH$4&amp;RankPoints!$B18,Results!$P$2:$P$226,0),24)),INDEX(Results!$B$2:$AA$226,MATCH(RankPoints!AH$4&amp;RankPoints!$B18,Results!$Q$2:$Q$226,0),25),INDEX(Results!$B$2:$AA$226,MATCH(RankPoints!AH$4&amp;RankPoints!$B18,Results!$P$2:$P$226,0),24)))</f>
        <v>1500</v>
      </c>
      <c r="AI19" s="50">
        <f>IF(ISERROR(IF(ISERROR(INDEX(Results!$B$2:$AA$226,MATCH(RankPoints!AI$4&amp;RankPoints!$B18,Results!$P$2:$P$226,0),24)),INDEX(Results!$B$2:$AA$226,MATCH(RankPoints!AI$4&amp;RankPoints!$B18,Results!$Q$2:$Q$226,0),25),INDEX(Results!$B$2:$AA$226,MATCH(RankPoints!AI$4&amp;RankPoints!$B18,Results!$P$2:$P$226,0),24))),AI18,IF(ISERROR(INDEX(Results!$B$2:$AA$226,MATCH(RankPoints!AI$4&amp;RankPoints!$B18,Results!$P$2:$P$226,0),24)),INDEX(Results!$B$2:$AA$226,MATCH(RankPoints!AI$4&amp;RankPoints!$B18,Results!$Q$2:$Q$226,0),25),INDEX(Results!$B$2:$AA$226,MATCH(RankPoints!AI$4&amp;RankPoints!$B18,Results!$P$2:$P$226,0),24)))</f>
        <v>1500</v>
      </c>
      <c r="AJ19" s="106">
        <f>IF(ISERROR(IF(ISERROR(INDEX(Results!$B$2:$AA$226,MATCH(RankPoints!AJ$4&amp;RankPoints!$B18,Results!$P$2:$P$226,0),24)),INDEX(Results!$B$2:$AA$226,MATCH(RankPoints!AJ$4&amp;RankPoints!$B18,Results!$Q$2:$Q$226,0),25),INDEX(Results!$B$2:$AA$226,MATCH(RankPoints!AJ$4&amp;RankPoints!$B18,Results!$P$2:$P$226,0),24))),AJ18,IF(ISERROR(INDEX(Results!$B$2:$AA$226,MATCH(RankPoints!AJ$4&amp;RankPoints!$B18,Results!$P$2:$P$226,0),24)),INDEX(Results!$B$2:$AA$226,MATCH(RankPoints!AJ$4&amp;RankPoints!$B18,Results!$Q$2:$Q$226,0),25),INDEX(Results!$B$2:$AA$226,MATCH(RankPoints!AJ$4&amp;RankPoints!$B18,Results!$P$2:$P$226,0),24)))</f>
        <v>1493</v>
      </c>
      <c r="AK19" s="107">
        <f>IF(ISERROR(IF(ISERROR(INDEX(Results!$B$2:$AA$226,MATCH(RankPoints!AK$4&amp;RankPoints!$B18,Results!$P$2:$P$226,0),24)),INDEX(Results!$B$2:$AA$226,MATCH(RankPoints!AK$4&amp;RankPoints!$B18,Results!$Q$2:$Q$226,0),25),INDEX(Results!$B$2:$AA$226,MATCH(RankPoints!AK$4&amp;RankPoints!$B18,Results!$P$2:$P$226,0),24))),AK18,IF(ISERROR(INDEX(Results!$B$2:$AA$226,MATCH(RankPoints!AK$4&amp;RankPoints!$B18,Results!$P$2:$P$226,0),24)),INDEX(Results!$B$2:$AA$226,MATCH(RankPoints!AK$4&amp;RankPoints!$B18,Results!$Q$2:$Q$226,0),25),INDEX(Results!$B$2:$AA$226,MATCH(RankPoints!AK$4&amp;RankPoints!$B18,Results!$P$2:$P$226,0),24)))</f>
        <v>353</v>
      </c>
    </row>
    <row r="20" spans="2:37" ht="13.5" thickBot="1">
      <c r="B20" s="87">
        <v>16</v>
      </c>
      <c r="C20" s="108">
        <f>IF(ISERROR(IF(ISERROR(INDEX(Results!$B$2:$AA$226,MATCH(RankPoints!C$4&amp;RankPoints!$B19,Results!$P$2:$P$226,0),24)),INDEX(Results!$B$2:$AA$226,MATCH(RankPoints!C$4&amp;RankPoints!$B19,Results!$Q$2:$Q$226,0),25),INDEX(Results!$B$2:$AA$226,MATCH(RankPoints!C$4&amp;RankPoints!$B19,Results!$P$2:$P$226,0),24))),C19,IF(ISERROR(INDEX(Results!$B$2:$AA$226,MATCH(RankPoints!C$4&amp;RankPoints!$B19,Results!$P$2:$P$226,0),24)),INDEX(Results!$B$2:$AA$226,MATCH(RankPoints!C$4&amp;RankPoints!$B19,Results!$Q$2:$Q$226,0),25),INDEX(Results!$B$2:$AA$226,MATCH(RankPoints!C$4&amp;RankPoints!$B19,Results!$P$2:$P$226,0),24)))</f>
        <v>1500</v>
      </c>
      <c r="D20" s="110">
        <f>IF(ISERROR(IF(ISERROR(INDEX(Results!$B$2:$AA$226,MATCH(RankPoints!D$4&amp;RankPoints!$B19,Results!$P$2:$P$226,0),24)),INDEX(Results!$B$2:$AA$226,MATCH(RankPoints!D$4&amp;RankPoints!$B19,Results!$Q$2:$Q$226,0),25),INDEX(Results!$B$2:$AA$226,MATCH(RankPoints!D$4&amp;RankPoints!$B19,Results!$P$2:$P$226,0),24))),D19,IF(ISERROR(INDEX(Results!$B$2:$AA$226,MATCH(RankPoints!D$4&amp;RankPoints!$B19,Results!$P$2:$P$226,0),24)),INDEX(Results!$B$2:$AA$226,MATCH(RankPoints!D$4&amp;RankPoints!$B19,Results!$Q$2:$Q$226,0),25),INDEX(Results!$B$2:$AA$226,MATCH(RankPoints!D$4&amp;RankPoints!$B19,Results!$P$2:$P$226,0),24)))</f>
        <v>-1516</v>
      </c>
      <c r="E20" s="110">
        <f>IF(ISERROR(IF(ISERROR(INDEX(Results!$B$2:$AA$226,MATCH(RankPoints!E$4&amp;RankPoints!$B19,Results!$P$2:$P$226,0),24)),INDEX(Results!$B$2:$AA$226,MATCH(RankPoints!E$4&amp;RankPoints!$B19,Results!$Q$2:$Q$226,0),25),INDEX(Results!$B$2:$AA$226,MATCH(RankPoints!E$4&amp;RankPoints!$B19,Results!$P$2:$P$226,0),24))),E19,IF(ISERROR(INDEX(Results!$B$2:$AA$226,MATCH(RankPoints!E$4&amp;RankPoints!$B19,Results!$P$2:$P$226,0),24)),INDEX(Results!$B$2:$AA$226,MATCH(RankPoints!E$4&amp;RankPoints!$B19,Results!$Q$2:$Q$226,0),25),INDEX(Results!$B$2:$AA$226,MATCH(RankPoints!E$4&amp;RankPoints!$B19,Results!$P$2:$P$226,0),24)))</f>
        <v>1731</v>
      </c>
      <c r="F20" s="108">
        <f>IF(ISERROR(IF(ISERROR(INDEX(Results!$B$2:$AA$226,MATCH(RankPoints!F$4&amp;RankPoints!$B19,Results!$P$2:$P$226,0),24)),INDEX(Results!$B$2:$AA$226,MATCH(RankPoints!F$4&amp;RankPoints!$B19,Results!$Q$2:$Q$226,0),25),INDEX(Results!$B$2:$AA$226,MATCH(RankPoints!F$4&amp;RankPoints!$B19,Results!$P$2:$P$226,0),24))),F19,IF(ISERROR(INDEX(Results!$B$2:$AA$226,MATCH(RankPoints!F$4&amp;RankPoints!$B19,Results!$P$2:$P$226,0),24)),INDEX(Results!$B$2:$AA$226,MATCH(RankPoints!F$4&amp;RankPoints!$B19,Results!$Q$2:$Q$226,0),25),INDEX(Results!$B$2:$AA$226,MATCH(RankPoints!F$4&amp;RankPoints!$B19,Results!$P$2:$P$226,0),24)))</f>
        <v>1500</v>
      </c>
      <c r="G20" s="108">
        <f>IF(ISERROR(IF(ISERROR(INDEX(Results!$B$2:$AA$226,MATCH(RankPoints!G$4&amp;RankPoints!$B19,Results!$P$2:$P$226,0),24)),INDEX(Results!$B$2:$AA$226,MATCH(RankPoints!G$4&amp;RankPoints!$B19,Results!$Q$2:$Q$226,0),25),INDEX(Results!$B$2:$AA$226,MATCH(RankPoints!G$4&amp;RankPoints!$B19,Results!$P$2:$P$226,0),24))),G19,IF(ISERROR(INDEX(Results!$B$2:$AA$226,MATCH(RankPoints!G$4&amp;RankPoints!$B19,Results!$P$2:$P$226,0),24)),INDEX(Results!$B$2:$AA$226,MATCH(RankPoints!G$4&amp;RankPoints!$B19,Results!$Q$2:$Q$226,0),25),INDEX(Results!$B$2:$AA$226,MATCH(RankPoints!G$4&amp;RankPoints!$B19,Results!$P$2:$P$226,0),24)))</f>
        <v>1548</v>
      </c>
      <c r="H20" s="108">
        <f>IF(ISERROR(IF(ISERROR(INDEX(Results!$B$2:$AA$226,MATCH(RankPoints!H$4&amp;RankPoints!$B19,Results!$P$2:$P$226,0),24)),INDEX(Results!$B$2:$AA$226,MATCH(RankPoints!H$4&amp;RankPoints!$B19,Results!$Q$2:$Q$226,0),25),INDEX(Results!$B$2:$AA$226,MATCH(RankPoints!H$4&amp;RankPoints!$B19,Results!$P$2:$P$226,0),24))),H19,IF(ISERROR(INDEX(Results!$B$2:$AA$226,MATCH(RankPoints!H$4&amp;RankPoints!$B19,Results!$P$2:$P$226,0),24)),INDEX(Results!$B$2:$AA$226,MATCH(RankPoints!H$4&amp;RankPoints!$B19,Results!$Q$2:$Q$226,0),25),INDEX(Results!$B$2:$AA$226,MATCH(RankPoints!H$4&amp;RankPoints!$B19,Results!$P$2:$P$226,0),24)))</f>
        <v>1651</v>
      </c>
      <c r="I20" s="109">
        <f>IF(ISERROR(IF(ISERROR(INDEX(Results!$B$2:$AA$226,MATCH(RankPoints!I$4&amp;RankPoints!$B19,Results!$P$2:$P$226,0),24)),INDEX(Results!$B$2:$AA$226,MATCH(RankPoints!I$4&amp;RankPoints!$B19,Results!$Q$2:$Q$226,0),25),INDEX(Results!$B$2:$AA$226,MATCH(RankPoints!I$4&amp;RankPoints!$B19,Results!$P$2:$P$226,0),24))),I19,IF(ISERROR(INDEX(Results!$B$2:$AA$226,MATCH(RankPoints!I$4&amp;RankPoints!$B19,Results!$P$2:$P$226,0),24)),INDEX(Results!$B$2:$AA$226,MATCH(RankPoints!I$4&amp;RankPoints!$B19,Results!$Q$2:$Q$226,0),25),INDEX(Results!$B$2:$AA$226,MATCH(RankPoints!I$4&amp;RankPoints!$B19,Results!$P$2:$P$226,0),24)))</f>
        <v>1500</v>
      </c>
      <c r="J20" s="110">
        <f>IF(ISERROR(IF(ISERROR(INDEX(Results!$B$2:$AA$226,MATCH(RankPoints!J$4&amp;RankPoints!$B19,Results!$P$2:$P$226,0),24)),INDEX(Results!$B$2:$AA$226,MATCH(RankPoints!J$4&amp;RankPoints!$B19,Results!$Q$2:$Q$226,0),25),INDEX(Results!$B$2:$AA$226,MATCH(RankPoints!J$4&amp;RankPoints!$B19,Results!$P$2:$P$226,0),24))),J19,IF(ISERROR(INDEX(Results!$B$2:$AA$226,MATCH(RankPoints!J$4&amp;RankPoints!$B19,Results!$P$2:$P$226,0),24)),INDEX(Results!$B$2:$AA$226,MATCH(RankPoints!J$4&amp;RankPoints!$B19,Results!$Q$2:$Q$226,0),25),INDEX(Results!$B$2:$AA$226,MATCH(RankPoints!J$4&amp;RankPoints!$B19,Results!$P$2:$P$226,0),24)))</f>
        <v>2635</v>
      </c>
      <c r="K20" s="108">
        <f>IF(ISERROR(IF(ISERROR(INDEX(Results!$B$2:$AA$226,MATCH(RankPoints!K$4&amp;RankPoints!$B19,Results!$P$2:$P$226,0),24)),INDEX(Results!$B$2:$AA$226,MATCH(RankPoints!K$4&amp;RankPoints!$B19,Results!$Q$2:$Q$226,0),25),INDEX(Results!$B$2:$AA$226,MATCH(RankPoints!K$4&amp;RankPoints!$B19,Results!$P$2:$P$226,0),24))),K19,IF(ISERROR(INDEX(Results!$B$2:$AA$226,MATCH(RankPoints!K$4&amp;RankPoints!$B19,Results!$P$2:$P$226,0),24)),INDEX(Results!$B$2:$AA$226,MATCH(RankPoints!K$4&amp;RankPoints!$B19,Results!$Q$2:$Q$226,0),25),INDEX(Results!$B$2:$AA$226,MATCH(RankPoints!K$4&amp;RankPoints!$B19,Results!$P$2:$P$226,0),24)))</f>
        <v>1500</v>
      </c>
      <c r="L20" s="108">
        <f>IF(ISERROR(IF(ISERROR(INDEX(Results!$B$2:$AA$226,MATCH(RankPoints!L$4&amp;RankPoints!$B19,Results!$P$2:$P$226,0),24)),INDEX(Results!$B$2:$AA$226,MATCH(RankPoints!L$4&amp;RankPoints!$B19,Results!$Q$2:$Q$226,0),25),INDEX(Results!$B$2:$AA$226,MATCH(RankPoints!L$4&amp;RankPoints!$B19,Results!$P$2:$P$226,0),24))),L19,IF(ISERROR(INDEX(Results!$B$2:$AA$226,MATCH(RankPoints!L$4&amp;RankPoints!$B19,Results!$P$2:$P$226,0),24)),INDEX(Results!$B$2:$AA$226,MATCH(RankPoints!L$4&amp;RankPoints!$B19,Results!$Q$2:$Q$226,0),25),INDEX(Results!$B$2:$AA$226,MATCH(RankPoints!L$4&amp;RankPoints!$B19,Results!$P$2:$P$226,0),24)))</f>
        <v>1500</v>
      </c>
      <c r="M20" s="110">
        <f>IF(ISERROR(IF(ISERROR(INDEX(Results!$B$2:$AA$226,MATCH(RankPoints!M$4&amp;RankPoints!$B19,Results!$P$2:$P$226,0),24)),INDEX(Results!$B$2:$AA$226,MATCH(RankPoints!M$4&amp;RankPoints!$B19,Results!$Q$2:$Q$226,0),25),INDEX(Results!$B$2:$AA$226,MATCH(RankPoints!M$4&amp;RankPoints!$B19,Results!$P$2:$P$226,0),24))),M19,IF(ISERROR(INDEX(Results!$B$2:$AA$226,MATCH(RankPoints!M$4&amp;RankPoints!$B19,Results!$P$2:$P$226,0),24)),INDEX(Results!$B$2:$AA$226,MATCH(RankPoints!M$4&amp;RankPoints!$B19,Results!$Q$2:$Q$226,0),25),INDEX(Results!$B$2:$AA$226,MATCH(RankPoints!M$4&amp;RankPoints!$B19,Results!$P$2:$P$226,0),24)))</f>
        <v>-1287</v>
      </c>
      <c r="N20" s="110">
        <f>IF(ISERROR(IF(ISERROR(INDEX(Results!$B$2:$AA$226,MATCH(RankPoints!N$4&amp;RankPoints!$B19,Results!$P$2:$P$226,0),24)),INDEX(Results!$B$2:$AA$226,MATCH(RankPoints!N$4&amp;RankPoints!$B19,Results!$Q$2:$Q$226,0),25),INDEX(Results!$B$2:$AA$226,MATCH(RankPoints!N$4&amp;RankPoints!$B19,Results!$P$2:$P$226,0),24))),N19,IF(ISERROR(INDEX(Results!$B$2:$AA$226,MATCH(RankPoints!N$4&amp;RankPoints!$B19,Results!$P$2:$P$226,0),24)),INDEX(Results!$B$2:$AA$226,MATCH(RankPoints!N$4&amp;RankPoints!$B19,Results!$Q$2:$Q$226,0),25),INDEX(Results!$B$2:$AA$226,MATCH(RankPoints!N$4&amp;RankPoints!$B19,Results!$P$2:$P$226,0),24)))</f>
        <v>2850</v>
      </c>
      <c r="O20" s="108">
        <f>IF(ISERROR(IF(ISERROR(INDEX(Results!$B$2:$AA$226,MATCH(RankPoints!O$4&amp;RankPoints!$B19,Results!$P$2:$P$226,0),24)),INDEX(Results!$B$2:$AA$226,MATCH(RankPoints!O$4&amp;RankPoints!$B19,Results!$Q$2:$Q$226,0),25),INDEX(Results!$B$2:$AA$226,MATCH(RankPoints!O$4&amp;RankPoints!$B19,Results!$P$2:$P$226,0),24))),O19,IF(ISERROR(INDEX(Results!$B$2:$AA$226,MATCH(RankPoints!O$4&amp;RankPoints!$B19,Results!$P$2:$P$226,0),24)),INDEX(Results!$B$2:$AA$226,MATCH(RankPoints!O$4&amp;RankPoints!$B19,Results!$Q$2:$Q$226,0),25),INDEX(Results!$B$2:$AA$226,MATCH(RankPoints!O$4&amp;RankPoints!$B19,Results!$P$2:$P$226,0),24)))</f>
        <v>1500</v>
      </c>
      <c r="P20" s="109">
        <f>IF(ISERROR(IF(ISERROR(INDEX(Results!$B$2:$AA$226,MATCH(RankPoints!P$4&amp;RankPoints!$B19,Results!$P$2:$P$226,0),24)),INDEX(Results!$B$2:$AA$226,MATCH(RankPoints!P$4&amp;RankPoints!$B19,Results!$Q$2:$Q$226,0),25),INDEX(Results!$B$2:$AA$226,MATCH(RankPoints!P$4&amp;RankPoints!$B19,Results!$P$2:$P$226,0),24))),P19,IF(ISERROR(INDEX(Results!$B$2:$AA$226,MATCH(RankPoints!P$4&amp;RankPoints!$B19,Results!$P$2:$P$226,0),24)),INDEX(Results!$B$2:$AA$226,MATCH(RankPoints!P$4&amp;RankPoints!$B19,Results!$Q$2:$Q$226,0),25),INDEX(Results!$B$2:$AA$226,MATCH(RankPoints!P$4&amp;RankPoints!$B19,Results!$P$2:$P$226,0),24)))</f>
        <v>1500</v>
      </c>
      <c r="Q20" s="108">
        <f>IF(ISERROR(IF(ISERROR(INDEX(Results!$B$2:$AA$226,MATCH(RankPoints!Q$4&amp;RankPoints!$B19,Results!$P$2:$P$226,0),24)),INDEX(Results!$B$2:$AA$226,MATCH(RankPoints!Q$4&amp;RankPoints!$B19,Results!$Q$2:$Q$226,0),25),INDEX(Results!$B$2:$AA$226,MATCH(RankPoints!Q$4&amp;RankPoints!$B19,Results!$P$2:$P$226,0),24))),Q19,IF(ISERROR(INDEX(Results!$B$2:$AA$226,MATCH(RankPoints!Q$4&amp;RankPoints!$B19,Results!$P$2:$P$226,0),24)),INDEX(Results!$B$2:$AA$226,MATCH(RankPoints!Q$4&amp;RankPoints!$B19,Results!$Q$2:$Q$226,0),25),INDEX(Results!$B$2:$AA$226,MATCH(RankPoints!Q$4&amp;RankPoints!$B19,Results!$P$2:$P$226,0),24)))</f>
        <v>1500</v>
      </c>
      <c r="R20" s="108">
        <f>IF(ISERROR(IF(ISERROR(INDEX(Results!$B$2:$AA$226,MATCH(RankPoints!R$4&amp;RankPoints!$B19,Results!$P$2:$P$226,0),24)),INDEX(Results!$B$2:$AA$226,MATCH(RankPoints!R$4&amp;RankPoints!$B19,Results!$Q$2:$Q$226,0),25),INDEX(Results!$B$2:$AA$226,MATCH(RankPoints!R$4&amp;RankPoints!$B19,Results!$P$2:$P$226,0),24))),R19,IF(ISERROR(INDEX(Results!$B$2:$AA$226,MATCH(RankPoints!R$4&amp;RankPoints!$B19,Results!$P$2:$P$226,0),24)),INDEX(Results!$B$2:$AA$226,MATCH(RankPoints!R$4&amp;RankPoints!$B19,Results!$Q$2:$Q$226,0),25),INDEX(Results!$B$2:$AA$226,MATCH(RankPoints!R$4&amp;RankPoints!$B19,Results!$P$2:$P$226,0),24)))</f>
        <v>1500</v>
      </c>
      <c r="S20" s="108">
        <f>IF(ISERROR(IF(ISERROR(INDEX(Results!$B$2:$AA$226,MATCH(RankPoints!S$4&amp;RankPoints!$B19,Results!$P$2:$P$226,0),24)),INDEX(Results!$B$2:$AA$226,MATCH(RankPoints!S$4&amp;RankPoints!$B19,Results!$Q$2:$Q$226,0),25),INDEX(Results!$B$2:$AA$226,MATCH(RankPoints!S$4&amp;RankPoints!$B19,Results!$P$2:$P$226,0),24))),S19,IF(ISERROR(INDEX(Results!$B$2:$AA$226,MATCH(RankPoints!S$4&amp;RankPoints!$B19,Results!$P$2:$P$226,0),24)),INDEX(Results!$B$2:$AA$226,MATCH(RankPoints!S$4&amp;RankPoints!$B19,Results!$Q$2:$Q$226,0),25),INDEX(Results!$B$2:$AA$226,MATCH(RankPoints!S$4&amp;RankPoints!$B19,Results!$P$2:$P$226,0),24)))</f>
        <v>-1516</v>
      </c>
      <c r="T20" s="108">
        <f>IF(ISERROR(IF(ISERROR(INDEX(Results!$B$2:$AA$226,MATCH(RankPoints!T$4&amp;RankPoints!$B19,Results!$P$2:$P$226,0),24)),INDEX(Results!$B$2:$AA$226,MATCH(RankPoints!T$4&amp;RankPoints!$B19,Results!$Q$2:$Q$226,0),25),INDEX(Results!$B$2:$AA$226,MATCH(RankPoints!T$4&amp;RankPoints!$B19,Results!$P$2:$P$226,0),24))),T19,IF(ISERROR(INDEX(Results!$B$2:$AA$226,MATCH(RankPoints!T$4&amp;RankPoints!$B19,Results!$P$2:$P$226,0),24)),INDEX(Results!$B$2:$AA$226,MATCH(RankPoints!T$4&amp;RankPoints!$B19,Results!$Q$2:$Q$226,0),25),INDEX(Results!$B$2:$AA$226,MATCH(RankPoints!T$4&amp;RankPoints!$B19,Results!$P$2:$P$226,0),24)))</f>
        <v>1500</v>
      </c>
      <c r="U20" s="108">
        <f>IF(ISERROR(IF(ISERROR(INDEX(Results!$B$2:$AA$226,MATCH(RankPoints!U$4&amp;RankPoints!$B19,Results!$P$2:$P$226,0),24)),INDEX(Results!$B$2:$AA$226,MATCH(RankPoints!U$4&amp;RankPoints!$B19,Results!$Q$2:$Q$226,0),25),INDEX(Results!$B$2:$AA$226,MATCH(RankPoints!U$4&amp;RankPoints!$B19,Results!$P$2:$P$226,0),24))),U19,IF(ISERROR(INDEX(Results!$B$2:$AA$226,MATCH(RankPoints!U$4&amp;RankPoints!$B19,Results!$P$2:$P$226,0),24)),INDEX(Results!$B$2:$AA$226,MATCH(RankPoints!U$4&amp;RankPoints!$B19,Results!$Q$2:$Q$226,0),25),INDEX(Results!$B$2:$AA$226,MATCH(RankPoints!U$4&amp;RankPoints!$B19,Results!$P$2:$P$226,0),24)))</f>
        <v>1500</v>
      </c>
      <c r="V20" s="108">
        <f>IF(ISERROR(IF(ISERROR(INDEX(Results!$B$2:$AA$226,MATCH(RankPoints!V$4&amp;RankPoints!$B19,Results!$P$2:$P$226,0),24)),INDEX(Results!$B$2:$AA$226,MATCH(RankPoints!V$4&amp;RankPoints!$B19,Results!$Q$2:$Q$226,0),25),INDEX(Results!$B$2:$AA$226,MATCH(RankPoints!V$4&amp;RankPoints!$B19,Results!$P$2:$P$226,0),24))),V19,IF(ISERROR(INDEX(Results!$B$2:$AA$226,MATCH(RankPoints!V$4&amp;RankPoints!$B19,Results!$P$2:$P$226,0),24)),INDEX(Results!$B$2:$AA$226,MATCH(RankPoints!V$4&amp;RankPoints!$B19,Results!$Q$2:$Q$226,0),25),INDEX(Results!$B$2:$AA$226,MATCH(RankPoints!V$4&amp;RankPoints!$B19,Results!$P$2:$P$226,0),24)))</f>
        <v>1516</v>
      </c>
      <c r="W20" s="109">
        <f>IF(ISERROR(IF(ISERROR(INDEX(Results!$B$2:$AA$226,MATCH(RankPoints!W$4&amp;RankPoints!$B19,Results!$P$2:$P$226,0),24)),INDEX(Results!$B$2:$AA$226,MATCH(RankPoints!W$4&amp;RankPoints!$B19,Results!$Q$2:$Q$226,0),25),INDEX(Results!$B$2:$AA$226,MATCH(RankPoints!W$4&amp;RankPoints!$B19,Results!$P$2:$P$226,0),24))),W19,IF(ISERROR(INDEX(Results!$B$2:$AA$226,MATCH(RankPoints!W$4&amp;RankPoints!$B19,Results!$P$2:$P$226,0),24)),INDEX(Results!$B$2:$AA$226,MATCH(RankPoints!W$4&amp;RankPoints!$B19,Results!$Q$2:$Q$226,0),25),INDEX(Results!$B$2:$AA$226,MATCH(RankPoints!W$4&amp;RankPoints!$B19,Results!$P$2:$P$226,0),24)))</f>
        <v>1500</v>
      </c>
      <c r="X20" s="110">
        <f>IF(ISERROR(IF(ISERROR(INDEX(Results!$B$2:$AA$226,MATCH(RankPoints!X$4&amp;RankPoints!$B19,Results!$P$2:$P$226,0),24)),INDEX(Results!$B$2:$AA$226,MATCH(RankPoints!X$4&amp;RankPoints!$B19,Results!$Q$2:$Q$226,0),25),INDEX(Results!$B$2:$AA$226,MATCH(RankPoints!X$4&amp;RankPoints!$B19,Results!$P$2:$P$226,0),24))),X19,IF(ISERROR(INDEX(Results!$B$2:$AA$226,MATCH(RankPoints!X$4&amp;RankPoints!$B19,Results!$P$2:$P$226,0),24)),INDEX(Results!$B$2:$AA$226,MATCH(RankPoints!X$4&amp;RankPoints!$B19,Results!$Q$2:$Q$226,0),25),INDEX(Results!$B$2:$AA$226,MATCH(RankPoints!X$4&amp;RankPoints!$B19,Results!$P$2:$P$226,0),24)))</f>
        <v>-104</v>
      </c>
      <c r="Y20" s="108">
        <f>IF(ISERROR(IF(ISERROR(INDEX(Results!$B$2:$AA$226,MATCH(RankPoints!Y$4&amp;RankPoints!$B19,Results!$P$2:$P$226,0),24)),INDEX(Results!$B$2:$AA$226,MATCH(RankPoints!Y$4&amp;RankPoints!$B19,Results!$Q$2:$Q$226,0),25),INDEX(Results!$B$2:$AA$226,MATCH(RankPoints!Y$4&amp;RankPoints!$B19,Results!$P$2:$P$226,0),24))),Y19,IF(ISERROR(INDEX(Results!$B$2:$AA$226,MATCH(RankPoints!Y$4&amp;RankPoints!$B19,Results!$P$2:$P$226,0),24)),INDEX(Results!$B$2:$AA$226,MATCH(RankPoints!Y$4&amp;RankPoints!$B19,Results!$Q$2:$Q$226,0),25),INDEX(Results!$B$2:$AA$226,MATCH(RankPoints!Y$4&amp;RankPoints!$B19,Results!$P$2:$P$226,0),24)))</f>
        <v>-6305</v>
      </c>
      <c r="Z20" s="108">
        <f>IF(ISERROR(IF(ISERROR(INDEX(Results!$B$2:$AA$226,MATCH(RankPoints!Z$4&amp;RankPoints!$B19,Results!$P$2:$P$226,0),24)),INDEX(Results!$B$2:$AA$226,MATCH(RankPoints!Z$4&amp;RankPoints!$B19,Results!$Q$2:$Q$226,0),25),INDEX(Results!$B$2:$AA$226,MATCH(RankPoints!Z$4&amp;RankPoints!$B19,Results!$P$2:$P$226,0),24))),Z19,IF(ISERROR(INDEX(Results!$B$2:$AA$226,MATCH(RankPoints!Z$4&amp;RankPoints!$B19,Results!$P$2:$P$226,0),24)),INDEX(Results!$B$2:$AA$226,MATCH(RankPoints!Z$4&amp;RankPoints!$B19,Results!$Q$2:$Q$226,0),25),INDEX(Results!$B$2:$AA$226,MATCH(RankPoints!Z$4&amp;RankPoints!$B19,Results!$P$2:$P$226,0),24)))</f>
        <v>-2972</v>
      </c>
      <c r="AA20" s="108">
        <f>IF(ISERROR(IF(ISERROR(INDEX(Results!$B$2:$AA$226,MATCH(RankPoints!AA$4&amp;RankPoints!$B19,Results!$P$2:$P$226,0),24)),INDEX(Results!$B$2:$AA$226,MATCH(RankPoints!AA$4&amp;RankPoints!$B19,Results!$Q$2:$Q$226,0),25),INDEX(Results!$B$2:$AA$226,MATCH(RankPoints!AA$4&amp;RankPoints!$B19,Results!$P$2:$P$226,0),24))),AA19,IF(ISERROR(INDEX(Results!$B$2:$AA$226,MATCH(RankPoints!AA$4&amp;RankPoints!$B19,Results!$P$2:$P$226,0),24)),INDEX(Results!$B$2:$AA$226,MATCH(RankPoints!AA$4&amp;RankPoints!$B19,Results!$Q$2:$Q$226,0),25),INDEX(Results!$B$2:$AA$226,MATCH(RankPoints!AA$4&amp;RankPoints!$B19,Results!$P$2:$P$226,0),24)))</f>
        <v>1500</v>
      </c>
      <c r="AB20" s="110">
        <f>IF(ISERROR(IF(ISERROR(INDEX(Results!$B$2:$AA$226,MATCH(RankPoints!AB$4&amp;RankPoints!$B19,Results!$P$2:$P$226,0),24)),INDEX(Results!$B$2:$AA$226,MATCH(RankPoints!AB$4&amp;RankPoints!$B19,Results!$Q$2:$Q$226,0),25),INDEX(Results!$B$2:$AA$226,MATCH(RankPoints!AB$4&amp;RankPoints!$B19,Results!$P$2:$P$226,0),24))),AB19,IF(ISERROR(INDEX(Results!$B$2:$AA$226,MATCH(RankPoints!AB$4&amp;RankPoints!$B19,Results!$P$2:$P$226,0),24)),INDEX(Results!$B$2:$AA$226,MATCH(RankPoints!AB$4&amp;RankPoints!$B19,Results!$Q$2:$Q$226,0),25),INDEX(Results!$B$2:$AA$226,MATCH(RankPoints!AB$4&amp;RankPoints!$B19,Results!$P$2:$P$226,0),24)))</f>
        <v>3212</v>
      </c>
      <c r="AC20" s="108">
        <f>IF(ISERROR(IF(ISERROR(INDEX(Results!$B$2:$AA$226,MATCH(RankPoints!AC$4&amp;RankPoints!$B19,Results!$P$2:$P$226,0),24)),INDEX(Results!$B$2:$AA$226,MATCH(RankPoints!AC$4&amp;RankPoints!$B19,Results!$Q$2:$Q$226,0),25),INDEX(Results!$B$2:$AA$226,MATCH(RankPoints!AC$4&amp;RankPoints!$B19,Results!$P$2:$P$226,0),24))),AC19,IF(ISERROR(INDEX(Results!$B$2:$AA$226,MATCH(RankPoints!AC$4&amp;RankPoints!$B19,Results!$P$2:$P$226,0),24)),INDEX(Results!$B$2:$AA$226,MATCH(RankPoints!AC$4&amp;RankPoints!$B19,Results!$Q$2:$Q$226,0),25),INDEX(Results!$B$2:$AA$226,MATCH(RankPoints!AC$4&amp;RankPoints!$B19,Results!$P$2:$P$226,0),24)))</f>
        <v>1500</v>
      </c>
      <c r="AD20" s="111">
        <f>IF(ISERROR(IF(ISERROR(INDEX(Results!$B$2:$AA$226,MATCH(RankPoints!AD$4&amp;RankPoints!$B19,Results!$P$2:$P$226,0),24)),INDEX(Results!$B$2:$AA$226,MATCH(RankPoints!AD$4&amp;RankPoints!$B19,Results!$Q$2:$Q$226,0),25),INDEX(Results!$B$2:$AA$226,MATCH(RankPoints!AD$4&amp;RankPoints!$B19,Results!$P$2:$P$226,0),24))),AD19,IF(ISERROR(INDEX(Results!$B$2:$AA$226,MATCH(RankPoints!AD$4&amp;RankPoints!$B19,Results!$P$2:$P$226,0),24)),INDEX(Results!$B$2:$AA$226,MATCH(RankPoints!AD$4&amp;RankPoints!$B19,Results!$Q$2:$Q$226,0),25),INDEX(Results!$B$2:$AA$226,MATCH(RankPoints!AD$4&amp;RankPoints!$B19,Results!$P$2:$P$226,0),24)))</f>
        <v>1583</v>
      </c>
      <c r="AE20" s="110">
        <f>IF(ISERROR(IF(ISERROR(INDEX(Results!$B$2:$AA$226,MATCH(RankPoints!AE$4&amp;RankPoints!$B19,Results!$P$2:$P$226,0),24)),INDEX(Results!$B$2:$AA$226,MATCH(RankPoints!AE$4&amp;RankPoints!$B19,Results!$Q$2:$Q$226,0),25),INDEX(Results!$B$2:$AA$226,MATCH(RankPoints!AE$4&amp;RankPoints!$B19,Results!$P$2:$P$226,0),24))),AE19,IF(ISERROR(INDEX(Results!$B$2:$AA$226,MATCH(RankPoints!AE$4&amp;RankPoints!$B19,Results!$P$2:$P$226,0),24)),INDEX(Results!$B$2:$AA$226,MATCH(RankPoints!AE$4&amp;RankPoints!$B19,Results!$Q$2:$Q$226,0),25),INDEX(Results!$B$2:$AA$226,MATCH(RankPoints!AE$4&amp;RankPoints!$B19,Results!$P$2:$P$226,0),24)))</f>
        <v>448</v>
      </c>
      <c r="AF20" s="110">
        <f>IF(ISERROR(IF(ISERROR(INDEX(Results!$B$2:$AA$226,MATCH(RankPoints!AF$4&amp;RankPoints!$B19,Results!$P$2:$P$226,0),24)),INDEX(Results!$B$2:$AA$226,MATCH(RankPoints!AF$4&amp;RankPoints!$B19,Results!$Q$2:$Q$226,0),25),INDEX(Results!$B$2:$AA$226,MATCH(RankPoints!AF$4&amp;RankPoints!$B19,Results!$P$2:$P$226,0),24))),AF19,IF(ISERROR(INDEX(Results!$B$2:$AA$226,MATCH(RankPoints!AF$4&amp;RankPoints!$B19,Results!$P$2:$P$226,0),24)),INDEX(Results!$B$2:$AA$226,MATCH(RankPoints!AF$4&amp;RankPoints!$B19,Results!$Q$2:$Q$226,0),25),INDEX(Results!$B$2:$AA$226,MATCH(RankPoints!AF$4&amp;RankPoints!$B19,Results!$P$2:$P$226,0),24)))</f>
        <v>1411</v>
      </c>
      <c r="AG20" s="108">
        <f>IF(ISERROR(IF(ISERROR(INDEX(Results!$B$2:$AA$226,MATCH(RankPoints!AG$4&amp;RankPoints!$B19,Results!$P$2:$P$226,0),24)),INDEX(Results!$B$2:$AA$226,MATCH(RankPoints!AG$4&amp;RankPoints!$B19,Results!$Q$2:$Q$226,0),25),INDEX(Results!$B$2:$AA$226,MATCH(RankPoints!AG$4&amp;RankPoints!$B19,Results!$P$2:$P$226,0),24))),AG19,IF(ISERROR(INDEX(Results!$B$2:$AA$226,MATCH(RankPoints!AG$4&amp;RankPoints!$B19,Results!$P$2:$P$226,0),24)),INDEX(Results!$B$2:$AA$226,MATCH(RankPoints!AG$4&amp;RankPoints!$B19,Results!$Q$2:$Q$226,0),25),INDEX(Results!$B$2:$AA$226,MATCH(RankPoints!AG$4&amp;RankPoints!$B19,Results!$P$2:$P$226,0),24)))</f>
        <v>326</v>
      </c>
      <c r="AH20" s="108">
        <f>IF(ISERROR(IF(ISERROR(INDEX(Results!$B$2:$AA$226,MATCH(RankPoints!AH$4&amp;RankPoints!$B19,Results!$P$2:$P$226,0),24)),INDEX(Results!$B$2:$AA$226,MATCH(RankPoints!AH$4&amp;RankPoints!$B19,Results!$Q$2:$Q$226,0),25),INDEX(Results!$B$2:$AA$226,MATCH(RankPoints!AH$4&amp;RankPoints!$B19,Results!$P$2:$P$226,0),24))),AH19,IF(ISERROR(INDEX(Results!$B$2:$AA$226,MATCH(RankPoints!AH$4&amp;RankPoints!$B19,Results!$P$2:$P$226,0),24)),INDEX(Results!$B$2:$AA$226,MATCH(RankPoints!AH$4&amp;RankPoints!$B19,Results!$Q$2:$Q$226,0),25),INDEX(Results!$B$2:$AA$226,MATCH(RankPoints!AH$4&amp;RankPoints!$B19,Results!$P$2:$P$226,0),24)))</f>
        <v>1500</v>
      </c>
      <c r="AI20" s="108">
        <f>IF(ISERROR(IF(ISERROR(INDEX(Results!$B$2:$AA$226,MATCH(RankPoints!AI$4&amp;RankPoints!$B19,Results!$P$2:$P$226,0),24)),INDEX(Results!$B$2:$AA$226,MATCH(RankPoints!AI$4&amp;RankPoints!$B19,Results!$Q$2:$Q$226,0),25),INDEX(Results!$B$2:$AA$226,MATCH(RankPoints!AI$4&amp;RankPoints!$B19,Results!$P$2:$P$226,0),24))),AI19,IF(ISERROR(INDEX(Results!$B$2:$AA$226,MATCH(RankPoints!AI$4&amp;RankPoints!$B19,Results!$P$2:$P$226,0),24)),INDEX(Results!$B$2:$AA$226,MATCH(RankPoints!AI$4&amp;RankPoints!$B19,Results!$Q$2:$Q$226,0),25),INDEX(Results!$B$2:$AA$226,MATCH(RankPoints!AI$4&amp;RankPoints!$B19,Results!$P$2:$P$226,0),24)))</f>
        <v>1500</v>
      </c>
      <c r="AJ20" s="110">
        <f>IF(ISERROR(IF(ISERROR(INDEX(Results!$B$2:$AA$226,MATCH(RankPoints!AJ$4&amp;RankPoints!$B19,Results!$P$2:$P$226,0),24)),INDEX(Results!$B$2:$AA$226,MATCH(RankPoints!AJ$4&amp;RankPoints!$B19,Results!$Q$2:$Q$226,0),25),INDEX(Results!$B$2:$AA$226,MATCH(RankPoints!AJ$4&amp;RankPoints!$B19,Results!$P$2:$P$226,0),24))),AJ19,IF(ISERROR(INDEX(Results!$B$2:$AA$226,MATCH(RankPoints!AJ$4&amp;RankPoints!$B19,Results!$P$2:$P$226,0),24)),INDEX(Results!$B$2:$AA$226,MATCH(RankPoints!AJ$4&amp;RankPoints!$B19,Results!$Q$2:$Q$226,0),25),INDEX(Results!$B$2:$AA$226,MATCH(RankPoints!AJ$4&amp;RankPoints!$B19,Results!$P$2:$P$226,0),24)))</f>
        <v>1493</v>
      </c>
      <c r="AK20" s="111">
        <f>IF(ISERROR(IF(ISERROR(INDEX(Results!$B$2:$AA$226,MATCH(RankPoints!AK$4&amp;RankPoints!$B19,Results!$P$2:$P$226,0),24)),INDEX(Results!$B$2:$AA$226,MATCH(RankPoints!AK$4&amp;RankPoints!$B19,Results!$Q$2:$Q$226,0),25),INDEX(Results!$B$2:$AA$226,MATCH(RankPoints!AK$4&amp;RankPoints!$B19,Results!$P$2:$P$226,0),24))),AK19,IF(ISERROR(INDEX(Results!$B$2:$AA$226,MATCH(RankPoints!AK$4&amp;RankPoints!$B19,Results!$P$2:$P$226,0),24)),INDEX(Results!$B$2:$AA$226,MATCH(RankPoints!AK$4&amp;RankPoints!$B19,Results!$Q$2:$Q$226,0),25),INDEX(Results!$B$2:$AA$226,MATCH(RankPoints!AK$4&amp;RankPoints!$B19,Results!$P$2:$P$226,0),24)))</f>
        <v>353</v>
      </c>
    </row>
    <row r="21" spans="2:37" ht="12.7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</row>
    <row r="22" spans="2:37" ht="12.7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2:37" ht="12.7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2:37" ht="12.7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</row>
    <row r="25" spans="2:37" ht="12.7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</row>
    <row r="26" spans="2:37" ht="12.7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2:37" ht="12.7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2:37" ht="12.7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spans="2:37" ht="12.7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2:37" ht="12.7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2:37" ht="12.7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2:37" ht="12.7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</row>
    <row r="33" s="71" customFormat="1" ht="12.75"/>
    <row r="34" s="71" customFormat="1" ht="12.75"/>
    <row r="35" s="71" customFormat="1" ht="12.75"/>
    <row r="36" s="71" customFormat="1" ht="12.75"/>
    <row r="37" s="71" customFormat="1" ht="12.75"/>
    <row r="38" s="71" customFormat="1" ht="12.75"/>
    <row r="39" s="71" customFormat="1" ht="12.75"/>
    <row r="40" s="71" customFormat="1" ht="12.75"/>
    <row r="41" s="71" customFormat="1" ht="12.75"/>
    <row r="42" s="71" customFormat="1" ht="12.75"/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12.75"/>
    <row r="50" s="71" customFormat="1" ht="12.75"/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T48"/>
  <sheetViews>
    <sheetView workbookViewId="0" topLeftCell="A1">
      <selection activeCell="A1" sqref="A1"/>
    </sheetView>
  </sheetViews>
  <sheetFormatPr defaultColWidth="9.140625" defaultRowHeight="12.75"/>
  <cols>
    <col min="1" max="1" width="1.421875" style="54" customWidth="1"/>
    <col min="2" max="2" width="5.00390625" style="56" customWidth="1"/>
    <col min="3" max="3" width="35.7109375" style="56" bestFit="1" customWidth="1"/>
    <col min="4" max="4" width="10.28125" style="56" bestFit="1" customWidth="1"/>
    <col min="5" max="5" width="7.140625" style="57" bestFit="1" customWidth="1"/>
    <col min="6" max="29" width="3.57421875" style="56" customWidth="1"/>
    <col min="30" max="31" width="4.28125" style="56" customWidth="1"/>
    <col min="32" max="38" width="6.421875" style="56" customWidth="1"/>
    <col min="39" max="56" width="4.28125" style="56" customWidth="1"/>
    <col min="57" max="72" width="6.421875" style="56" customWidth="1"/>
    <col min="73" max="16384" width="9.140625" style="56" customWidth="1"/>
  </cols>
  <sheetData>
    <row r="1" spans="2:72" ht="7.5" customHeight="1" thickBot="1">
      <c r="B1" s="54"/>
      <c r="C1" s="54"/>
      <c r="D1" s="54"/>
      <c r="E1" s="55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ht="13.5" customHeight="1" thickBot="1">
      <c r="B2" s="341" t="s">
        <v>10</v>
      </c>
      <c r="C2" s="343" t="s">
        <v>9</v>
      </c>
      <c r="D2" s="345" t="s">
        <v>18</v>
      </c>
      <c r="E2" s="347" t="s">
        <v>37</v>
      </c>
      <c r="F2" s="337" t="s">
        <v>36</v>
      </c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21"/>
      <c r="AD2" s="339" t="s">
        <v>275</v>
      </c>
      <c r="AE2" s="330" t="s">
        <v>54</v>
      </c>
      <c r="AF2" s="330" t="s">
        <v>27</v>
      </c>
      <c r="AG2" s="330" t="s">
        <v>55</v>
      </c>
      <c r="AH2" s="330" t="s">
        <v>56</v>
      </c>
      <c r="AI2" s="330" t="s">
        <v>8</v>
      </c>
      <c r="AJ2" s="330" t="s">
        <v>28</v>
      </c>
      <c r="AK2" s="330" t="s">
        <v>29</v>
      </c>
      <c r="AL2" s="330" t="s">
        <v>62</v>
      </c>
      <c r="AM2" s="333" t="s">
        <v>0</v>
      </c>
      <c r="AN2" s="333"/>
      <c r="AO2" s="333"/>
      <c r="AP2" s="333"/>
      <c r="AQ2" s="333"/>
      <c r="AR2" s="333"/>
      <c r="AS2" s="334" t="s">
        <v>7</v>
      </c>
      <c r="AT2" s="335"/>
      <c r="AU2" s="335"/>
      <c r="AV2" s="335"/>
      <c r="AW2" s="335"/>
      <c r="AX2" s="336"/>
      <c r="AY2" s="335" t="s">
        <v>6</v>
      </c>
      <c r="AZ2" s="335"/>
      <c r="BA2" s="335"/>
      <c r="BB2" s="335"/>
      <c r="BC2" s="335"/>
      <c r="BD2" s="336"/>
      <c r="BE2" s="339" t="s">
        <v>57</v>
      </c>
      <c r="BF2" s="339" t="s">
        <v>276</v>
      </c>
      <c r="BG2" s="339" t="s">
        <v>278</v>
      </c>
      <c r="BH2" s="339" t="s">
        <v>277</v>
      </c>
      <c r="BI2" s="339" t="s">
        <v>279</v>
      </c>
      <c r="BJ2" s="339" t="s">
        <v>280</v>
      </c>
      <c r="BK2" s="330" t="s">
        <v>55</v>
      </c>
      <c r="BL2" s="330" t="s">
        <v>56</v>
      </c>
      <c r="BM2" s="330" t="s">
        <v>8</v>
      </c>
      <c r="BN2" s="330" t="s">
        <v>28</v>
      </c>
      <c r="BO2" s="330" t="s">
        <v>29</v>
      </c>
      <c r="BP2" s="330" t="s">
        <v>62</v>
      </c>
      <c r="BQ2" s="330" t="s">
        <v>281</v>
      </c>
      <c r="BR2" s="330" t="s">
        <v>282</v>
      </c>
      <c r="BS2" s="339" t="s">
        <v>284</v>
      </c>
      <c r="BT2" s="330" t="s">
        <v>285</v>
      </c>
    </row>
    <row r="3" spans="2:72" ht="13.5" thickBot="1">
      <c r="B3" s="342"/>
      <c r="C3" s="344"/>
      <c r="D3" s="346"/>
      <c r="E3" s="348"/>
      <c r="F3" s="51" t="s">
        <v>53</v>
      </c>
      <c r="G3" s="52" t="s">
        <v>2</v>
      </c>
      <c r="H3" s="53" t="s">
        <v>1</v>
      </c>
      <c r="I3" s="52" t="s">
        <v>53</v>
      </c>
      <c r="J3" s="52" t="s">
        <v>2</v>
      </c>
      <c r="K3" s="53" t="s">
        <v>1</v>
      </c>
      <c r="L3" s="51" t="s">
        <v>53</v>
      </c>
      <c r="M3" s="52" t="s">
        <v>2</v>
      </c>
      <c r="N3" s="53" t="s">
        <v>1</v>
      </c>
      <c r="O3" s="52" t="s">
        <v>53</v>
      </c>
      <c r="P3" s="52" t="s">
        <v>2</v>
      </c>
      <c r="Q3" s="53" t="s">
        <v>1</v>
      </c>
      <c r="R3" s="51" t="s">
        <v>53</v>
      </c>
      <c r="S3" s="52" t="s">
        <v>2</v>
      </c>
      <c r="T3" s="53" t="s">
        <v>1</v>
      </c>
      <c r="U3" s="52" t="s">
        <v>53</v>
      </c>
      <c r="V3" s="52" t="s">
        <v>2</v>
      </c>
      <c r="W3" s="53" t="s">
        <v>1</v>
      </c>
      <c r="X3" s="51" t="s">
        <v>53</v>
      </c>
      <c r="Y3" s="52" t="s">
        <v>2</v>
      </c>
      <c r="Z3" s="53" t="s">
        <v>1</v>
      </c>
      <c r="AA3" s="52" t="s">
        <v>53</v>
      </c>
      <c r="AB3" s="52" t="s">
        <v>2</v>
      </c>
      <c r="AC3" s="53" t="s">
        <v>1</v>
      </c>
      <c r="AD3" s="349"/>
      <c r="AE3" s="332"/>
      <c r="AF3" s="331"/>
      <c r="AG3" s="331"/>
      <c r="AH3" s="331"/>
      <c r="AI3" s="331"/>
      <c r="AJ3" s="331"/>
      <c r="AK3" s="331"/>
      <c r="AL3" s="332"/>
      <c r="AM3" s="31" t="s">
        <v>1</v>
      </c>
      <c r="AN3" s="31" t="s">
        <v>2</v>
      </c>
      <c r="AO3" s="31" t="s">
        <v>3</v>
      </c>
      <c r="AP3" s="31" t="s">
        <v>4</v>
      </c>
      <c r="AQ3" s="31" t="s">
        <v>5</v>
      </c>
      <c r="AR3" s="31" t="s">
        <v>8</v>
      </c>
      <c r="AS3" s="36" t="s">
        <v>1</v>
      </c>
      <c r="AT3" s="37" t="s">
        <v>2</v>
      </c>
      <c r="AU3" s="37" t="s">
        <v>3</v>
      </c>
      <c r="AV3" s="37" t="s">
        <v>4</v>
      </c>
      <c r="AW3" s="37" t="s">
        <v>5</v>
      </c>
      <c r="AX3" s="44" t="s">
        <v>8</v>
      </c>
      <c r="AY3" s="37" t="s">
        <v>1</v>
      </c>
      <c r="AZ3" s="37" t="s">
        <v>2</v>
      </c>
      <c r="BA3" s="37" t="s">
        <v>3</v>
      </c>
      <c r="BB3" s="37" t="s">
        <v>4</v>
      </c>
      <c r="BC3" s="37" t="s">
        <v>5</v>
      </c>
      <c r="BD3" s="44" t="s">
        <v>8</v>
      </c>
      <c r="BE3" s="340"/>
      <c r="BF3" s="340"/>
      <c r="BG3" s="340"/>
      <c r="BH3" s="340"/>
      <c r="BI3" s="340"/>
      <c r="BJ3" s="349"/>
      <c r="BK3" s="332"/>
      <c r="BL3" s="332"/>
      <c r="BM3" s="332"/>
      <c r="BN3" s="332"/>
      <c r="BO3" s="332"/>
      <c r="BP3" s="332"/>
      <c r="BQ3" s="332"/>
      <c r="BR3" s="332"/>
      <c r="BS3" s="349"/>
      <c r="BT3" s="332"/>
    </row>
    <row r="4" spans="2:72" ht="13.5" thickBot="1">
      <c r="B4" s="139"/>
      <c r="C4" s="159"/>
      <c r="D4" s="38"/>
      <c r="E4" s="164"/>
      <c r="F4" s="43" t="s">
        <v>129</v>
      </c>
      <c r="G4" s="43" t="s">
        <v>129</v>
      </c>
      <c r="H4" s="43" t="s">
        <v>129</v>
      </c>
      <c r="I4" s="43" t="s">
        <v>38</v>
      </c>
      <c r="J4" s="43" t="s">
        <v>38</v>
      </c>
      <c r="K4" s="43" t="s">
        <v>38</v>
      </c>
      <c r="L4" s="43" t="s">
        <v>131</v>
      </c>
      <c r="M4" s="43" t="s">
        <v>131</v>
      </c>
      <c r="N4" s="43" t="s">
        <v>131</v>
      </c>
      <c r="O4" s="43" t="s">
        <v>85</v>
      </c>
      <c r="P4" s="43" t="s">
        <v>85</v>
      </c>
      <c r="Q4" s="43" t="s">
        <v>85</v>
      </c>
      <c r="R4" s="43" t="s">
        <v>83</v>
      </c>
      <c r="S4" s="43" t="s">
        <v>83</v>
      </c>
      <c r="T4" s="43" t="s">
        <v>83</v>
      </c>
      <c r="U4" s="43" t="s">
        <v>123</v>
      </c>
      <c r="V4" s="43" t="s">
        <v>123</v>
      </c>
      <c r="W4" s="43" t="s">
        <v>123</v>
      </c>
      <c r="X4" s="43" t="s">
        <v>137</v>
      </c>
      <c r="Y4" s="43" t="s">
        <v>137</v>
      </c>
      <c r="Z4" s="43" t="s">
        <v>137</v>
      </c>
      <c r="AA4" s="43" t="s">
        <v>140</v>
      </c>
      <c r="AB4" s="43" t="s">
        <v>140</v>
      </c>
      <c r="AC4" s="43" t="s">
        <v>140</v>
      </c>
      <c r="AD4" s="139"/>
      <c r="AE4" s="40"/>
      <c r="AF4" s="120"/>
      <c r="AG4" s="261"/>
      <c r="AH4" s="45"/>
      <c r="AI4" s="45"/>
      <c r="AJ4" s="45"/>
      <c r="AK4" s="120"/>
      <c r="AL4" s="139"/>
      <c r="AM4" s="39"/>
      <c r="AN4" s="39"/>
      <c r="AO4" s="39"/>
      <c r="AP4" s="39"/>
      <c r="AQ4" s="39"/>
      <c r="AR4" s="39"/>
      <c r="AS4" s="38"/>
      <c r="AT4" s="39"/>
      <c r="AU4" s="39"/>
      <c r="AV4" s="39"/>
      <c r="AW4" s="39"/>
      <c r="AX4" s="39"/>
      <c r="AY4" s="266"/>
      <c r="AZ4" s="267"/>
      <c r="BA4" s="267"/>
      <c r="BB4" s="267"/>
      <c r="BC4" s="267"/>
      <c r="BD4" s="268"/>
      <c r="BE4" s="120"/>
      <c r="BF4" s="139"/>
      <c r="BG4" s="40"/>
      <c r="BH4" s="45"/>
      <c r="BI4" s="120"/>
      <c r="BJ4" s="261"/>
      <c r="BK4" s="268"/>
      <c r="BL4" s="268"/>
      <c r="BM4" s="268"/>
      <c r="BN4" s="268"/>
      <c r="BO4" s="268"/>
      <c r="BP4" s="261"/>
      <c r="BQ4" s="40"/>
      <c r="BR4" s="40"/>
      <c r="BS4" s="139"/>
      <c r="BT4" s="40"/>
    </row>
    <row r="5" spans="2:72" ht="12.75">
      <c r="B5" s="131">
        <f>SUM(AF5:AL5)</f>
        <v>23</v>
      </c>
      <c r="C5" s="210" t="str">
        <f>Teams!B6</f>
        <v>Arlnet University</v>
      </c>
      <c r="D5" s="136" t="str">
        <f>INDEX(Teams!$B$5:$F$45,MATCH(DummyStandings!$C5,Teams!$B$5:$B$45,0),COLUMN()+1)</f>
        <v>Big Eight</v>
      </c>
      <c r="E5" s="208" t="str">
        <f>INDEX(Teams!$B$5:$H$45,MATCH(DummyStandings!$C5,Teams!$B$5:$B$45,0),6)</f>
        <v>ARLN</v>
      </c>
      <c r="F5" s="136">
        <f aca="true" t="shared" si="0" ref="F5:F12">IF($E5=F$4,0,IF($AF5=INDEX($B$5:$BD$48,MATCH(F$4,$E$5:$E$48,0),31),1,0))</f>
        <v>0</v>
      </c>
      <c r="G5" s="32">
        <f>IF(G$4=$E5,0,IF(AND(INDEX(Results!$B$2:$AB$282,MATCH(DummyStandings!G$4&amp;DummyStandings!$E5,Results!$K$2:$K$282,0),11)=DummyStandings!$E5,INDEX(Results!$B$2:$AB$282,MATCH(DummyStandings!$E5&amp;DummyStandings!G$4,Results!$K$2:$K$282,0),11)=DummyStandings!$E5),2,IF(INDEX(Results!$B$2:$AB$282,MATCH(DummyStandings!G$4&amp;DummyStandings!$E5,Results!$K$2:$K$282,0),11)=DummyStandings!$E5,1,IF(INDEX(Results!$B$2:$AB$282,MATCH(DummyStandings!$E5&amp;DummyStandings!G$4,Results!$K$2:$K$282,0),11)=DummyStandings!$E5,1,0))))</f>
        <v>0</v>
      </c>
      <c r="H5" s="33">
        <f>IF(H$4=$E5,0,INDEX(Results!$B$2:$O$282,MATCH(DummyStandings!$E5&amp;DummyStandings!H$4,Results!$K$2:$K$282,0),3)-INDEX(Results!$B$2:$O$282,MATCH(DummyStandings!$E5&amp;DummyStandings!H$4,Results!$K$2:$K$282,0),4))</f>
        <v>0</v>
      </c>
      <c r="I5" s="136">
        <f aca="true" t="shared" si="1" ref="I5:I12">IF($E5=I$4,0,IF($AF5=INDEX($B$5:$BD$48,MATCH(I$4,$E$5:$E$48,0),31),1,0))</f>
        <v>0</v>
      </c>
      <c r="J5" s="32">
        <f>IF(J$4=$E5,0,IF(AND(INDEX(Results!$B$2:$AB$282,MATCH(DummyStandings!J$4&amp;DummyStandings!$E5,Results!$K$2:$K$282,0),11)=DummyStandings!$E5,INDEX(Results!$B$2:$AB$282,MATCH(DummyStandings!$E5&amp;DummyStandings!J$4,Results!$K$2:$K$282,0),11)=DummyStandings!$E5),2,IF(INDEX(Results!$B$2:$AB$282,MATCH(DummyStandings!J$4&amp;DummyStandings!$E5,Results!$K$2:$K$282,0),11)=DummyStandings!$E5,1,IF(INDEX(Results!$B$2:$AB$282,MATCH(DummyStandings!$E5&amp;DummyStandings!J$4,Results!$K$2:$K$282,0),11)=DummyStandings!$E5,1,0))))</f>
        <v>0</v>
      </c>
      <c r="K5" s="33">
        <f>IF(K$4=$E5,0,INDEX(Results!$B$2:$O$282,MATCH(DummyStandings!$E5&amp;DummyStandings!K$4,Results!$K$2:$K$282,0),3)-INDEX(Results!$B$2:$O$282,MATCH(DummyStandings!$E5&amp;DummyStandings!K$4,Results!$K$2:$K$282,0),4))</f>
        <v>-17</v>
      </c>
      <c r="L5" s="136">
        <f aca="true" t="shared" si="2" ref="L5:L12">IF($E5=L$4,0,IF($AF5=INDEX($B$5:$BD$48,MATCH(L$4,$E$5:$E$48,0),31),1,0))</f>
        <v>0</v>
      </c>
      <c r="M5" s="32">
        <f>IF(M$4=$E5,0,IF(AND(INDEX(Results!$B$2:$AB$282,MATCH(DummyStandings!M$4&amp;DummyStandings!$E5,Results!$K$2:$K$282,0),11)=DummyStandings!$E5,INDEX(Results!$B$2:$AB$282,MATCH(DummyStandings!$E5&amp;DummyStandings!M$4,Results!$K$2:$K$282,0),11)=DummyStandings!$E5),2,IF(INDEX(Results!$B$2:$AB$282,MATCH(DummyStandings!M$4&amp;DummyStandings!$E5,Results!$K$2:$K$282,0),11)=DummyStandings!$E5,1,IF(INDEX(Results!$B$2:$AB$282,MATCH(DummyStandings!$E5&amp;DummyStandings!M$4,Results!$K$2:$K$282,0),11)=DummyStandings!$E5,1,0))))</f>
        <v>2</v>
      </c>
      <c r="N5" s="33">
        <f>IF(N$4=$E5,0,INDEX(Results!$B$2:$O$282,MATCH(DummyStandings!$E5&amp;DummyStandings!N$4,Results!$K$2:$K$282,0),3)-INDEX(Results!$B$2:$O$282,MATCH(DummyStandings!$E5&amp;DummyStandings!N$4,Results!$K$2:$K$282,0),4))</f>
        <v>31</v>
      </c>
      <c r="O5" s="136">
        <f aca="true" t="shared" si="3" ref="O5:O12">IF($E5=O$4,0,IF($AF5=INDEX($B$5:$BD$48,MATCH(O$4,$E$5:$E$48,0),31),1,0))</f>
        <v>0</v>
      </c>
      <c r="P5" s="32">
        <f>IF(P$4=$E5,0,IF(AND(INDEX(Results!$B$2:$AB$282,MATCH(DummyStandings!P$4&amp;DummyStandings!$E5,Results!$K$2:$K$282,0),11)=DummyStandings!$E5,INDEX(Results!$B$2:$AB$282,MATCH(DummyStandings!$E5&amp;DummyStandings!P$4,Results!$K$2:$K$282,0),11)=DummyStandings!$E5),2,IF(INDEX(Results!$B$2:$AB$282,MATCH(DummyStandings!P$4&amp;DummyStandings!$E5,Results!$K$2:$K$282,0),11)=DummyStandings!$E5,1,IF(INDEX(Results!$B$2:$AB$282,MATCH(DummyStandings!$E5&amp;DummyStandings!P$4,Results!$K$2:$K$282,0),11)=DummyStandings!$E5,1,0))))</f>
        <v>1</v>
      </c>
      <c r="Q5" s="33">
        <f>IF(Q$4=$E5,0,INDEX(Results!$B$2:$O$282,MATCH(DummyStandings!$E5&amp;DummyStandings!Q$4,Results!$K$2:$K$282,0),3)-INDEX(Results!$B$2:$O$282,MATCH(DummyStandings!$E5&amp;DummyStandings!Q$4,Results!$K$2:$K$282,0),4))</f>
        <v>-28</v>
      </c>
      <c r="R5" s="136">
        <f aca="true" t="shared" si="4" ref="R5:R12">IF($E5=R$4,0,IF($AF5=INDEX($B$5:$BD$48,MATCH(R$4,$E$5:$E$48,0),31),1,0))</f>
        <v>0</v>
      </c>
      <c r="S5" s="32">
        <f>IF(S$4=$E5,0,IF(AND(INDEX(Results!$B$2:$AB$282,MATCH(DummyStandings!S$4&amp;DummyStandings!$E5,Results!$K$2:$K$282,0),11)=DummyStandings!$E5,INDEX(Results!$B$2:$AB$282,MATCH(DummyStandings!$E5&amp;DummyStandings!S$4,Results!$K$2:$K$282,0),11)=DummyStandings!$E5),2,IF(INDEX(Results!$B$2:$AB$282,MATCH(DummyStandings!S$4&amp;DummyStandings!$E5,Results!$K$2:$K$282,0),11)=DummyStandings!$E5,1,IF(INDEX(Results!$B$2:$AB$282,MATCH(DummyStandings!$E5&amp;DummyStandings!S$4,Results!$K$2:$K$282,0),11)=DummyStandings!$E5,1,0))))</f>
        <v>0</v>
      </c>
      <c r="T5" s="33">
        <f>IF(T$4=$E5,0,INDEX(Results!$B$2:$O$282,MATCH(DummyStandings!$E5&amp;DummyStandings!T$4,Results!$K$2:$K$282,0),3)-INDEX(Results!$B$2:$O$282,MATCH(DummyStandings!$E5&amp;DummyStandings!T$4,Results!$K$2:$K$282,0),4))</f>
        <v>-10</v>
      </c>
      <c r="U5" s="136">
        <f aca="true" t="shared" si="5" ref="U5:U12">IF($E5=U$4,0,IF($AF5=INDEX($B$5:$BD$48,MATCH(U$4,$E$5:$E$48,0),31),1,0))</f>
        <v>0</v>
      </c>
      <c r="V5" s="32">
        <f>IF(V$4=$E5,0,IF(AND(INDEX(Results!$B$2:$AB$282,MATCH(DummyStandings!V$4&amp;DummyStandings!$E5,Results!$K$2:$K$282,0),11)=DummyStandings!$E5,INDEX(Results!$B$2:$AB$282,MATCH(DummyStandings!$E5&amp;DummyStandings!V$4,Results!$K$2:$K$282,0),11)=DummyStandings!$E5),2,IF(INDEX(Results!$B$2:$AB$282,MATCH(DummyStandings!V$4&amp;DummyStandings!$E5,Results!$K$2:$K$282,0),11)=DummyStandings!$E5,1,IF(INDEX(Results!$B$2:$AB$282,MATCH(DummyStandings!$E5&amp;DummyStandings!V$4,Results!$K$2:$K$282,0),11)=DummyStandings!$E5,1,0))))</f>
        <v>0</v>
      </c>
      <c r="W5" s="33">
        <f>IF(W$4=$E5,0,INDEX(Results!$B$2:$O$282,MATCH(DummyStandings!$E5&amp;DummyStandings!W$4,Results!$K$2:$K$282,0),3)-INDEX(Results!$B$2:$O$282,MATCH(DummyStandings!$E5&amp;DummyStandings!W$4,Results!$K$2:$K$282,0),4))</f>
        <v>-3</v>
      </c>
      <c r="X5" s="136">
        <f aca="true" t="shared" si="6" ref="X5:X12">IF($E5=X$4,0,IF($AF5=INDEX($B$5:$BD$48,MATCH(X$4,$E$5:$E$48,0),31),1,0))</f>
        <v>0</v>
      </c>
      <c r="Y5" s="32">
        <f>IF(Y$4=$E5,0,IF(AND(INDEX(Results!$B$2:$AB$282,MATCH(DummyStandings!Y$4&amp;DummyStandings!$E5,Results!$K$2:$K$282,0),11)=DummyStandings!$E5,INDEX(Results!$B$2:$AB$282,MATCH(DummyStandings!$E5&amp;DummyStandings!Y$4,Results!$K$2:$K$282,0),11)=DummyStandings!$E5),2,IF(INDEX(Results!$B$2:$AB$282,MATCH(DummyStandings!Y$4&amp;DummyStandings!$E5,Results!$K$2:$K$282,0),11)=DummyStandings!$E5,1,IF(INDEX(Results!$B$2:$AB$282,MATCH(DummyStandings!$E5&amp;DummyStandings!Y$4,Results!$K$2:$K$282,0),11)=DummyStandings!$E5,1,0))))</f>
        <v>1</v>
      </c>
      <c r="Z5" s="33">
        <f>IF(Z$4=$E5,0,INDEX(Results!$B$2:$O$282,MATCH(DummyStandings!$E5&amp;DummyStandings!Z$4,Results!$K$2:$K$282,0),3)-INDEX(Results!$B$2:$O$282,MATCH(DummyStandings!$E5&amp;DummyStandings!Z$4,Results!$K$2:$K$282,0),4))</f>
        <v>-4</v>
      </c>
      <c r="AA5" s="136">
        <f aca="true" t="shared" si="7" ref="AA5:AA12">IF($E5=AA$4,0,IF($AF5=INDEX($B$5:$BD$48,MATCH(AA$4,$E$5:$E$48,0),31),1,0))</f>
        <v>0</v>
      </c>
      <c r="AB5" s="32">
        <f>IF(AB$4=$E5,0,IF(AND(INDEX(Results!$B$2:$AB$282,MATCH(DummyStandings!AB$4&amp;DummyStandings!$E5,Results!$K$2:$K$282,0),11)=DummyStandings!$E5,INDEX(Results!$B$2:$AB$282,MATCH(DummyStandings!$E5&amp;DummyStandings!AB$4,Results!$K$2:$K$282,0),11)=DummyStandings!$E5),2,IF(INDEX(Results!$B$2:$AB$282,MATCH(DummyStandings!AB$4&amp;DummyStandings!$E5,Results!$K$2:$K$282,0),11)=DummyStandings!$E5,1,IF(INDEX(Results!$B$2:$AB$282,MATCH(DummyStandings!$E5&amp;DummyStandings!AB$4,Results!$K$2:$K$282,0),11)=DummyStandings!$E5,1,0))))</f>
        <v>2</v>
      </c>
      <c r="AC5" s="33">
        <f>IF(AC$4=$E5,0,INDEX(Results!$B$2:$O$282,MATCH(DummyStandings!$E5&amp;DummyStandings!AC$4,Results!$K$2:$K$282,0),3)-INDEX(Results!$B$2:$O$282,MATCH(DummyStandings!$E5&amp;DummyStandings!AC$4,Results!$K$2:$K$282,0),4))</f>
        <v>5</v>
      </c>
      <c r="AD5" s="131">
        <f>($F5*G5)+($I5*J5)+($L5*M5)+($O5*P5)+($R5*S5)+($U5*V5)+($X5*Y5)</f>
        <v>0</v>
      </c>
      <c r="AE5" s="136">
        <f>($F5*H5)+($I5*K5)+($L5*N5)+($O5*Q5)+($R5*T5)+($U5*W5)+($X5*Z5)</f>
        <v>0</v>
      </c>
      <c r="AF5" s="136">
        <f aca="true" t="shared" si="8" ref="AF5:AF12">RANK($AN5,$AN$5:$AN$48)</f>
        <v>21</v>
      </c>
      <c r="AG5" s="132">
        <f>SUMPRODUCT(($AF5=$AF$5:$AF$48)*($AD5&lt;$AD$5:$AD$48))</f>
        <v>2</v>
      </c>
      <c r="AH5" s="32">
        <f aca="true" t="shared" si="9" ref="AH5:AH12">SUMPRODUCT(($AF5=$AF$5:$AF$48)*($AD5=$AD$5:$AD$48)*($AE5&lt;$AE$5:$AE$48))</f>
        <v>0</v>
      </c>
      <c r="AI5" s="136">
        <f aca="true" t="shared" si="10" ref="AI5:AI12">SUMPRODUCT(($AF$5:$AF$48=$AF5)*($AG$5:$AG$48=$AG5)*($AH$5:$AH$48=$AH5)*($AR$5:$AR$48&gt;$AR5))</f>
        <v>0</v>
      </c>
      <c r="AJ5" s="136">
        <f aca="true" t="shared" si="11" ref="AJ5:AJ12">SUMPRODUCT(($AF$5:$AF$48=$AF5)*($AG$5:$AG$48=$AG5)*($AH$5:$AH$48=$AH5)*($AI$5:$AI$48=$AI5)*($AP$5:$AP$48&gt;$AP5))</f>
        <v>0</v>
      </c>
      <c r="AK5" s="136">
        <f aca="true" t="shared" si="12" ref="AK5:AK12">SUMPRODUCT(($AF$5:$AF$48=$AF5)*($AG$5:$AG$48=$AG5)*($AH$5:$AH$48=$AH5)*($AI$5:$AI$48=$AI5)*($AJ$5:$AJ$48=$AJ5)*($BB$5:$BB$48&gt;$BB5))</f>
        <v>0</v>
      </c>
      <c r="AL5" s="131">
        <f>SUMPRODUCT(($AF$5:$AF$48=$AF5)*($AG$5:$AG$48=$AG5)*($AH$5:$AH$48=$AH5)*($AI$5:$AI$48=$AI5)*($AJ$5:$AJ$48=$AJ5)*($BB$5:$BB$48=$BB5)*(BE5&gt;$BE$5:$BE$48))</f>
        <v>0</v>
      </c>
      <c r="AM5" s="32">
        <f aca="true" t="shared" si="13" ref="AM5:AR5">AS5+AY5</f>
        <v>14</v>
      </c>
      <c r="AN5" s="32">
        <f t="shared" si="13"/>
        <v>6</v>
      </c>
      <c r="AO5" s="32">
        <f t="shared" si="13"/>
        <v>8</v>
      </c>
      <c r="AP5" s="32">
        <f t="shared" si="13"/>
        <v>215</v>
      </c>
      <c r="AQ5" s="32">
        <f t="shared" si="13"/>
        <v>222</v>
      </c>
      <c r="AR5" s="32">
        <f t="shared" si="13"/>
        <v>-7</v>
      </c>
      <c r="AS5" s="136">
        <f>AT5+AU5</f>
        <v>7</v>
      </c>
      <c r="AT5" s="32">
        <f>SUMPRODUCT((Results!$C$3:$C$282=DummyStandings!$C5)*(Results!$D$3:$D$282&gt;Results!$E$3:$E$282))</f>
        <v>2</v>
      </c>
      <c r="AU5" s="32">
        <f>SUMPRODUCT((Results!$C$3:$C$282=DummyStandings!$C5)*(Results!$D$3:$D$282&lt;Results!$E$3:$E$282))</f>
        <v>5</v>
      </c>
      <c r="AV5" s="32">
        <f>SUMIF(Results!$C$3:$C$282,$C5,Results!$D$3:$D$282)</f>
        <v>106</v>
      </c>
      <c r="AW5" s="32">
        <f>SUMIF(Results!$C$3:$C$282,$C5,Results!$E$3:$E$282)</f>
        <v>132</v>
      </c>
      <c r="AX5" s="32">
        <f>AV5-AW5</f>
        <v>-26</v>
      </c>
      <c r="AY5" s="137">
        <f>AZ5+BA5</f>
        <v>7</v>
      </c>
      <c r="AZ5" s="34">
        <f>SUMPRODUCT((Results!$F$3:$F$282=DummyStandings!$C5)*(Results!$E$3:$E$282&gt;Results!$D$3:$D$282))</f>
        <v>4</v>
      </c>
      <c r="BA5" s="34">
        <f>SUMPRODUCT((Results!$F$3:$F$282=DummyStandings!$C5)*(Results!$E$3:$E$282&lt;Results!$D$3:$D$282))</f>
        <v>3</v>
      </c>
      <c r="BB5" s="34">
        <f>SUMIF(Results!$F$3:$F$282,$C5,Results!$E$3:$E$282)</f>
        <v>109</v>
      </c>
      <c r="BC5" s="34">
        <f>SUMIF(Results!$F$3:$F$282,$C5,Results!$D$3:$D$282)</f>
        <v>90</v>
      </c>
      <c r="BD5" s="35">
        <f>BB5-BC5</f>
        <v>19</v>
      </c>
      <c r="BE5" s="32">
        <f>INDEX(Teams!$B$5:$H$45,MATCH(DummyStandings!E5,Teams!$G$5:$G$45,0),7)</f>
        <v>18</v>
      </c>
      <c r="BF5" s="274">
        <f>((AT5*0.6)+(AZ5*1.4))/$AM5</f>
        <v>0.4857142857142857</v>
      </c>
      <c r="BG5" s="273">
        <f>(((SUMPRODUCT(($D5=$D$5:$D$48)*($AU$5:$AU$48)*0.6)-(AT5*0.6))/14)+((SUMPRODUCT(($D5=$D$5:$D$48)*($BA$5:$BA$48)*1.4)-(AZ5*1.4))/14))/10</f>
        <v>0.37999999999999995</v>
      </c>
      <c r="BH5" s="273">
        <f>((2*BF5)+BG5)/3</f>
        <v>0.4504761904761905</v>
      </c>
      <c r="BI5" s="32">
        <v>1</v>
      </c>
      <c r="BJ5" s="132">
        <f>SUMPRODUCT(($BI5=$BI$5:$BI$48)*($BH5&lt;$BH$5:$BH$48))</f>
        <v>16</v>
      </c>
      <c r="BK5" s="35">
        <f>SUMPRODUCT(($BI5=$BI$5:$BI$48)*($BJ5=$BJ$5:$BJ$48)*($AD5&lt;$AD$5:$AD$48))</f>
        <v>0</v>
      </c>
      <c r="BL5" s="35">
        <f>SUMPRODUCT(($BI5=$BI$5:$BI$48)*($BJ5=$BJ$5:$BJ$48)*($BK5=$BK$5:$BK$48)*($AE5&lt;$AE$5:$AE$48))</f>
        <v>0</v>
      </c>
      <c r="BM5" s="35">
        <f>SUMPRODUCT(($BI5=$BI$5:$BI$48)*($BJ5=$BJ$5:$BJ$48)*($BK5=$BK$5:$BK$48)*($BL5=$BL$5:$BL$48)*($AR$5:$AR$48&gt;$AR5))</f>
        <v>0</v>
      </c>
      <c r="BN5" s="35">
        <f>SUMPRODUCT(($BI5=$BI$5:$BI$48)*($BJ5=$BJ$5:$BJ$48)*($BK5=$BK$5:$BK$48)*($BL5=$BL$5:$BL$48)*($BM5=$BM$5:$BM$48)*($AP$5:$AP$48&gt;$AP5))</f>
        <v>0</v>
      </c>
      <c r="BO5" s="35">
        <f>SUMPRODUCT(($BI5=$BI$5:$BI$48)*($BJ5=$BJ$5:$BJ$48)*($BK5=$BK$5:$BK$48)*($BL5=$BL$5:$BL$48)*($BM5=$BM$5:$BM$48)*($BN5=$BN$5:$BN$48)*($BB$5:$BB$48&gt;$BB5))</f>
        <v>0</v>
      </c>
      <c r="BP5" s="137">
        <f>SUMPRODUCT(($BI5=$BI$5:$BI$48)*($BJ5=$BJ$5:$BJ$48)*($BK5=$BK$5:$BK$48)*($BL5=$BL$5:$BL$48)*($BM5=$BM$5:$BM$48)*($BN5=$BN$5:$BN$48)*($BO5=$BO$5:$BO$48)*($BE5&lt;$BE$5:$BE$48))</f>
        <v>0</v>
      </c>
      <c r="BQ5" s="136">
        <f aca="true" t="shared" si="14" ref="BQ5:BQ12">SUM(BI5:BP5)</f>
        <v>17</v>
      </c>
      <c r="BR5" s="136">
        <f aca="true" t="shared" si="15" ref="BR5:BR12">B5-BQ5</f>
        <v>6</v>
      </c>
      <c r="BS5" s="131">
        <f aca="true" t="shared" si="16" ref="BS5:BS12">SUMPRODUCT(($AF$5:$AF$48=$AF5)*($AR$5:$AR$48&gt;$AR5))</f>
        <v>0</v>
      </c>
      <c r="BT5" s="33">
        <f>BS5+AF5</f>
        <v>21</v>
      </c>
    </row>
    <row r="6" spans="2:72" ht="12.75">
      <c r="B6" s="132">
        <f aca="true" t="shared" si="17" ref="B6:B12">SUM(AF6:AL6)</f>
        <v>9</v>
      </c>
      <c r="C6" s="211" t="str">
        <f>Teams!B7</f>
        <v>Bugny A&amp;M University</v>
      </c>
      <c r="D6" s="137" t="str">
        <f>INDEX(Teams!$B$5:$F$45,MATCH(DummyStandings!$C6,Teams!$B$5:$B$45,0),COLUMN()+1)</f>
        <v>Big Eight</v>
      </c>
      <c r="E6" s="165" t="str">
        <f>INDEX(Teams!$B$5:$H$45,MATCH(DummyStandings!$C6,Teams!$B$5:$B$45,0),6)</f>
        <v>BUGN</v>
      </c>
      <c r="F6" s="137">
        <f t="shared" si="0"/>
        <v>0</v>
      </c>
      <c r="G6" s="34">
        <f>IF(G$4=$E6,0,IF(AND(INDEX(Results!$B$2:$AB$282,MATCH(DummyStandings!G$4&amp;DummyStandings!$E6,Results!$K$2:$K$282,0),11)=DummyStandings!$E6,INDEX(Results!$B$2:$AB$282,MATCH(DummyStandings!$E6&amp;DummyStandings!G$4,Results!$K$2:$K$282,0),11)=DummyStandings!$E6),2,IF(INDEX(Results!$B$2:$AB$282,MATCH(DummyStandings!G$4&amp;DummyStandings!$E6,Results!$K$2:$K$282,0),11)=DummyStandings!$E6,1,IF(INDEX(Results!$B$2:$AB$282,MATCH(DummyStandings!$E6&amp;DummyStandings!G$4,Results!$K$2:$K$282,0),11)=DummyStandings!$E6,1,0))))</f>
        <v>2</v>
      </c>
      <c r="H6" s="35">
        <f>IF(H$4=$E6,0,INDEX(Results!$B$2:$O$282,MATCH(DummyStandings!$E6&amp;DummyStandings!H$4,Results!$K$2:$K$282,0),3)-INDEX(Results!$B$2:$O$282,MATCH(DummyStandings!$E6&amp;DummyStandings!H$4,Results!$K$2:$K$282,0),4))</f>
        <v>18</v>
      </c>
      <c r="I6" s="137">
        <f t="shared" si="1"/>
        <v>0</v>
      </c>
      <c r="J6" s="34">
        <f>IF(J$4=$E6,0,IF(AND(INDEX(Results!$B$2:$AB$282,MATCH(DummyStandings!J$4&amp;DummyStandings!$E6,Results!$K$2:$K$282,0),11)=DummyStandings!$E6,INDEX(Results!$B$2:$AB$282,MATCH(DummyStandings!$E6&amp;DummyStandings!J$4,Results!$K$2:$K$282,0),11)=DummyStandings!$E6),2,IF(INDEX(Results!$B$2:$AB$282,MATCH(DummyStandings!J$4&amp;DummyStandings!$E6,Results!$K$2:$K$282,0),11)=DummyStandings!$E6,1,IF(INDEX(Results!$B$2:$AB$282,MATCH(DummyStandings!$E6&amp;DummyStandings!J$4,Results!$K$2:$K$282,0),11)=DummyStandings!$E6,1,0))))</f>
        <v>0</v>
      </c>
      <c r="K6" s="35">
        <f>IF(K$4=$E6,0,INDEX(Results!$B$2:$O$282,MATCH(DummyStandings!$E6&amp;DummyStandings!K$4,Results!$K$2:$K$282,0),3)-INDEX(Results!$B$2:$O$282,MATCH(DummyStandings!$E6&amp;DummyStandings!K$4,Results!$K$2:$K$282,0),4))</f>
        <v>0</v>
      </c>
      <c r="L6" s="137">
        <f t="shared" si="2"/>
        <v>0</v>
      </c>
      <c r="M6" s="34">
        <f>IF(M$4=$E6,0,IF(AND(INDEX(Results!$B$2:$AB$282,MATCH(DummyStandings!M$4&amp;DummyStandings!$E6,Results!$K$2:$K$282,0),11)=DummyStandings!$E6,INDEX(Results!$B$2:$AB$282,MATCH(DummyStandings!$E6&amp;DummyStandings!M$4,Results!$K$2:$K$282,0),11)=DummyStandings!$E6),2,IF(INDEX(Results!$B$2:$AB$282,MATCH(DummyStandings!M$4&amp;DummyStandings!$E6,Results!$K$2:$K$282,0),11)=DummyStandings!$E6,1,IF(INDEX(Results!$B$2:$AB$282,MATCH(DummyStandings!$E6&amp;DummyStandings!M$4,Results!$K$2:$K$282,0),11)=DummyStandings!$E6,1,0))))</f>
        <v>2</v>
      </c>
      <c r="N6" s="35">
        <f>IF(N$4=$E6,0,INDEX(Results!$B$2:$O$282,MATCH(DummyStandings!$E6&amp;DummyStandings!N$4,Results!$K$2:$K$282,0),3)-INDEX(Results!$B$2:$O$282,MATCH(DummyStandings!$E6&amp;DummyStandings!N$4,Results!$K$2:$K$282,0),4))</f>
        <v>16</v>
      </c>
      <c r="O6" s="137">
        <f t="shared" si="3"/>
        <v>0</v>
      </c>
      <c r="P6" s="34">
        <f>IF(P$4=$E6,0,IF(AND(INDEX(Results!$B$2:$AB$282,MATCH(DummyStandings!P$4&amp;DummyStandings!$E6,Results!$K$2:$K$282,0),11)=DummyStandings!$E6,INDEX(Results!$B$2:$AB$282,MATCH(DummyStandings!$E6&amp;DummyStandings!P$4,Results!$K$2:$K$282,0),11)=DummyStandings!$E6),2,IF(INDEX(Results!$B$2:$AB$282,MATCH(DummyStandings!P$4&amp;DummyStandings!$E6,Results!$K$2:$K$282,0),11)=DummyStandings!$E6,1,IF(INDEX(Results!$B$2:$AB$282,MATCH(DummyStandings!$E6&amp;DummyStandings!P$4,Results!$K$2:$K$282,0),11)=DummyStandings!$E6,1,0))))</f>
        <v>1</v>
      </c>
      <c r="Q6" s="35">
        <f>IF(Q$4=$E6,0,INDEX(Results!$B$2:$O$282,MATCH(DummyStandings!$E6&amp;DummyStandings!Q$4,Results!$K$2:$K$282,0),3)-INDEX(Results!$B$2:$O$282,MATCH(DummyStandings!$E6&amp;DummyStandings!Q$4,Results!$K$2:$K$282,0),4))</f>
        <v>8</v>
      </c>
      <c r="R6" s="137">
        <f t="shared" si="4"/>
        <v>0</v>
      </c>
      <c r="S6" s="34">
        <f>IF(S$4=$E6,0,IF(AND(INDEX(Results!$B$2:$AB$282,MATCH(DummyStandings!S$4&amp;DummyStandings!$E6,Results!$K$2:$K$282,0),11)=DummyStandings!$E6,INDEX(Results!$B$2:$AB$282,MATCH(DummyStandings!$E6&amp;DummyStandings!S$4,Results!$K$2:$K$282,0),11)=DummyStandings!$E6),2,IF(INDEX(Results!$B$2:$AB$282,MATCH(DummyStandings!S$4&amp;DummyStandings!$E6,Results!$K$2:$K$282,0),11)=DummyStandings!$E6,1,IF(INDEX(Results!$B$2:$AB$282,MATCH(DummyStandings!$E6&amp;DummyStandings!S$4,Results!$K$2:$K$282,0),11)=DummyStandings!$E6,1,0))))</f>
        <v>1</v>
      </c>
      <c r="T6" s="35">
        <f>IF(T$4=$E6,0,INDEX(Results!$B$2:$O$282,MATCH(DummyStandings!$E6&amp;DummyStandings!T$4,Results!$K$2:$K$282,0),3)-INDEX(Results!$B$2:$O$282,MATCH(DummyStandings!$E6&amp;DummyStandings!T$4,Results!$K$2:$K$282,0),4))</f>
        <v>11</v>
      </c>
      <c r="U6" s="137">
        <f t="shared" si="5"/>
        <v>0</v>
      </c>
      <c r="V6" s="34">
        <f>IF(V$4=$E6,0,IF(AND(INDEX(Results!$B$2:$AB$282,MATCH(DummyStandings!V$4&amp;DummyStandings!$E6,Results!$K$2:$K$282,0),11)=DummyStandings!$E6,INDEX(Results!$B$2:$AB$282,MATCH(DummyStandings!$E6&amp;DummyStandings!V$4,Results!$K$2:$K$282,0),11)=DummyStandings!$E6),2,IF(INDEX(Results!$B$2:$AB$282,MATCH(DummyStandings!V$4&amp;DummyStandings!$E6,Results!$K$2:$K$282,0),11)=DummyStandings!$E6,1,IF(INDEX(Results!$B$2:$AB$282,MATCH(DummyStandings!$E6&amp;DummyStandings!V$4,Results!$K$2:$K$282,0),11)=DummyStandings!$E6,1,0))))</f>
        <v>2</v>
      </c>
      <c r="W6" s="35">
        <f>IF(W$4=$E6,0,INDEX(Results!$B$2:$O$282,MATCH(DummyStandings!$E6&amp;DummyStandings!W$4,Results!$K$2:$K$282,0),3)-INDEX(Results!$B$2:$O$282,MATCH(DummyStandings!$E6&amp;DummyStandings!W$4,Results!$K$2:$K$282,0),4))</f>
        <v>7</v>
      </c>
      <c r="X6" s="137">
        <f t="shared" si="6"/>
        <v>0</v>
      </c>
      <c r="Y6" s="34">
        <f>IF(Y$4=$E6,0,IF(AND(INDEX(Results!$B$2:$AB$282,MATCH(DummyStandings!Y$4&amp;DummyStandings!$E6,Results!$K$2:$K$282,0),11)=DummyStandings!$E6,INDEX(Results!$B$2:$AB$282,MATCH(DummyStandings!$E6&amp;DummyStandings!Y$4,Results!$K$2:$K$282,0),11)=DummyStandings!$E6),2,IF(INDEX(Results!$B$2:$AB$282,MATCH(DummyStandings!Y$4&amp;DummyStandings!$E6,Results!$K$2:$K$282,0),11)=DummyStandings!$E6,1,IF(INDEX(Results!$B$2:$AB$282,MATCH(DummyStandings!$E6&amp;DummyStandings!Y$4,Results!$K$2:$K$282,0),11)=DummyStandings!$E6,1,0))))</f>
        <v>2</v>
      </c>
      <c r="Z6" s="35">
        <f>IF(Z$4=$E6,0,INDEX(Results!$B$2:$O$282,MATCH(DummyStandings!$E6&amp;DummyStandings!Z$4,Results!$K$2:$K$282,0),3)-INDEX(Results!$B$2:$O$282,MATCH(DummyStandings!$E6&amp;DummyStandings!Z$4,Results!$K$2:$K$282,0),4))</f>
        <v>16</v>
      </c>
      <c r="AA6" s="137">
        <f t="shared" si="7"/>
        <v>0</v>
      </c>
      <c r="AB6" s="34">
        <f>IF(AB$4=$E6,0,IF(AND(INDEX(Results!$B$2:$AB$282,MATCH(DummyStandings!AB$4&amp;DummyStandings!$E6,Results!$K$2:$K$282,0),11)=DummyStandings!$E6,INDEX(Results!$B$2:$AB$282,MATCH(DummyStandings!$E6&amp;DummyStandings!AB$4,Results!$K$2:$K$282,0),11)=DummyStandings!$E6),2,IF(INDEX(Results!$B$2:$AB$282,MATCH(DummyStandings!AB$4&amp;DummyStandings!$E6,Results!$K$2:$K$282,0),11)=DummyStandings!$E6,1,IF(INDEX(Results!$B$2:$AB$282,MATCH(DummyStandings!$E6&amp;DummyStandings!AB$4,Results!$K$2:$K$282,0),11)=DummyStandings!$E6,1,0))))</f>
        <v>1</v>
      </c>
      <c r="AC6" s="35">
        <f>IF(AC$4=$E6,0,INDEX(Results!$B$2:$O$282,MATCH(DummyStandings!$E6&amp;DummyStandings!AC$4,Results!$K$2:$K$282,0),3)-INDEX(Results!$B$2:$O$282,MATCH(DummyStandings!$E6&amp;DummyStandings!AC$4,Results!$K$2:$K$282,0),4))</f>
        <v>53</v>
      </c>
      <c r="AD6" s="132">
        <f aca="true" t="shared" si="18" ref="AD6:AE11">($F6*G6)+($I6*J6)+($L6*M6)+($O6*P6)+($R6*S6)+($U6*V6)+($X6*Y6)</f>
        <v>0</v>
      </c>
      <c r="AE6" s="137">
        <f t="shared" si="18"/>
        <v>0</v>
      </c>
      <c r="AF6" s="137">
        <f t="shared" si="8"/>
        <v>8</v>
      </c>
      <c r="AG6" s="132">
        <f aca="true" t="shared" si="19" ref="AG6:AG48">SUMPRODUCT(($AF6=$AF$5:$AF$48)*($AD6&lt;$AD$5:$AD$48))</f>
        <v>1</v>
      </c>
      <c r="AH6" s="34">
        <f t="shared" si="9"/>
        <v>0</v>
      </c>
      <c r="AI6" s="137">
        <f t="shared" si="10"/>
        <v>0</v>
      </c>
      <c r="AJ6" s="137">
        <f t="shared" si="11"/>
        <v>0</v>
      </c>
      <c r="AK6" s="137">
        <f t="shared" si="12"/>
        <v>0</v>
      </c>
      <c r="AL6" s="132">
        <f aca="true" t="shared" si="20" ref="AL6:AL48">SUMPRODUCT(($AF$5:$AF$48=$AF6)*($AG$5:$AG$48=$AG6)*($AH$5:$AH$48=$AH6)*($AI$5:$AI$48=$AI6)*($AJ$5:$AJ$48=$AJ6)*($BB$5:$BB$48=$BB6)*(BE6&gt;$BE$5:$BE$48))</f>
        <v>0</v>
      </c>
      <c r="AM6" s="34">
        <f aca="true" t="shared" si="21" ref="AM6:AM48">AS6+AY6</f>
        <v>14</v>
      </c>
      <c r="AN6" s="34">
        <f aca="true" t="shared" si="22" ref="AN6:AN48">AT6+AZ6</f>
        <v>11</v>
      </c>
      <c r="AO6" s="34">
        <f aca="true" t="shared" si="23" ref="AO6:AO48">AU6+BA6</f>
        <v>3</v>
      </c>
      <c r="AP6" s="34">
        <f aca="true" t="shared" si="24" ref="AP6:AP48">AV6+BB6</f>
        <v>316</v>
      </c>
      <c r="AQ6" s="34">
        <f aca="true" t="shared" si="25" ref="AQ6:AQ48">AW6+BC6</f>
        <v>141</v>
      </c>
      <c r="AR6" s="34">
        <f aca="true" t="shared" si="26" ref="AR6:AR48">AX6+BD6</f>
        <v>175</v>
      </c>
      <c r="AS6" s="137">
        <f aca="true" t="shared" si="27" ref="AS6:AS48">AT6+AU6</f>
        <v>7</v>
      </c>
      <c r="AT6" s="34">
        <f>SUMPRODUCT((Results!$C$3:$C$282=DummyStandings!$C6)*(Results!$D$3:$D$282&gt;Results!$E$3:$E$282))</f>
        <v>7</v>
      </c>
      <c r="AU6" s="34">
        <f>SUMPRODUCT((Results!$C$3:$C$282=DummyStandings!$C6)*(Results!$D$3:$D$282&lt;Results!$E$3:$E$282))</f>
        <v>0</v>
      </c>
      <c r="AV6" s="34">
        <f>SUMIF(Results!$C$3:$C$282,$C6,Results!$D$3:$D$282)</f>
        <v>172</v>
      </c>
      <c r="AW6" s="34">
        <f>SUMIF(Results!$C$3:$C$282,$C6,Results!$E$3:$E$282)</f>
        <v>43</v>
      </c>
      <c r="AX6" s="34">
        <f aca="true" t="shared" si="28" ref="AX6:AX48">AV6-AW6</f>
        <v>129</v>
      </c>
      <c r="AY6" s="137">
        <f aca="true" t="shared" si="29" ref="AY6:AY48">AZ6+BA6</f>
        <v>7</v>
      </c>
      <c r="AZ6" s="34">
        <f>SUMPRODUCT((Results!$F$3:$F$282=DummyStandings!$C6)*(Results!$E$3:$E$282&gt;Results!$D$3:$D$282))</f>
        <v>4</v>
      </c>
      <c r="BA6" s="34">
        <f>SUMPRODUCT((Results!$F$3:$F$282=DummyStandings!$C6)*(Results!$E$3:$E$282&lt;Results!$D$3:$D$282))</f>
        <v>3</v>
      </c>
      <c r="BB6" s="34">
        <f>SUMIF(Results!$F$3:$F$282,$C6,Results!$E$3:$E$282)</f>
        <v>144</v>
      </c>
      <c r="BC6" s="34">
        <f>SUMIF(Results!$F$3:$F$282,$C6,Results!$D$3:$D$282)</f>
        <v>98</v>
      </c>
      <c r="BD6" s="35">
        <f aca="true" t="shared" si="30" ref="BD6:BD48">BB6-BC6</f>
        <v>46</v>
      </c>
      <c r="BE6" s="34">
        <f>INDEX(Teams!$B$5:$H$45,MATCH(DummyStandings!E6,Teams!$G$5:$G$45,0),7)</f>
        <v>11</v>
      </c>
      <c r="BF6" s="272">
        <f>((AT6*0.6)+(AZ6*1.4))/$AM6</f>
        <v>0.7000000000000001</v>
      </c>
      <c r="BG6" s="275">
        <f aca="true" t="shared" si="31" ref="BG6:BG48">(((SUMPRODUCT(($D6=$D$5:$D$48)*($AU$5:$AU$48)*0.6)-(AT6*0.6))/14)+((SUMPRODUCT(($D6=$D$5:$D$48)*($BA$5:$BA$48)*1.4)-(AZ6*1.4))/14))/10</f>
        <v>0.3585714285714285</v>
      </c>
      <c r="BH6" s="275">
        <f>((2*BF6)+BG6)/3</f>
        <v>0.5861904761904763</v>
      </c>
      <c r="BI6" s="34">
        <v>1</v>
      </c>
      <c r="BJ6" s="132">
        <f aca="true" t="shared" si="32" ref="BJ6:BJ48">SUMPRODUCT(($BI6=$BI$5:$BI$48)*($BH6&lt;$BH$5:$BH$48))</f>
        <v>9</v>
      </c>
      <c r="BK6" s="35">
        <f aca="true" t="shared" si="33" ref="BK6:BK48">SUMPRODUCT(($BI6=$BI$5:$BI$48)*($BJ6=$BJ$5:$BJ$48)*($AD6&lt;$AD$5:$AD$48))</f>
        <v>0</v>
      </c>
      <c r="BL6" s="35">
        <f aca="true" t="shared" si="34" ref="BL6:BL48">SUMPRODUCT(($BI6=$BI$5:$BI$48)*($BJ6=$BJ$5:$BJ$48)*($BK6=$BK$5:$BK$48)*($AE6&lt;$AE$5:$AE$48))</f>
        <v>0</v>
      </c>
      <c r="BM6" s="35">
        <f aca="true" t="shared" si="35" ref="BM6:BM48">SUMPRODUCT(($BI6=$BI$5:$BI$48)*($BJ6=$BJ$5:$BJ$48)*($BK6=$BK$5:$BK$48)*($BL6=$BL$5:$BL$48)*($AR$5:$AR$48&gt;$AR6))</f>
        <v>0</v>
      </c>
      <c r="BN6" s="35">
        <f aca="true" t="shared" si="36" ref="BN6:BN48">SUMPRODUCT(($BI6=$BI$5:$BI$48)*($BJ6=$BJ$5:$BJ$48)*($BK6=$BK$5:$BK$48)*($BL6=$BL$5:$BL$48)*($BM6=$BM$5:$BM$48)*($AP$5:$AP$48&gt;$AP6))</f>
        <v>0</v>
      </c>
      <c r="BO6" s="35">
        <f aca="true" t="shared" si="37" ref="BO6:BO48">SUMPRODUCT(($BI6=$BI$5:$BI$48)*($BJ6=$BJ$5:$BJ$48)*($BK6=$BK$5:$BK$48)*($BL6=$BL$5:$BL$48)*($BM6=$BM$5:$BM$48)*($BN6=$BN$5:$BN$48)*($BB$5:$BB$48&gt;$BB6))</f>
        <v>0</v>
      </c>
      <c r="BP6" s="137">
        <f aca="true" t="shared" si="38" ref="BP6:BP48">SUMPRODUCT(($BI6=$BI$5:$BI$48)*($BJ6=$BJ$5:$BJ$48)*($BK6=$BK$5:$BK$48)*($BL6=$BL$5:$BL$48)*($BM6=$BM$5:$BM$48)*($BN6=$BN$5:$BN$48)*($BO6=$BO$5:$BO$48)*($BE6&lt;$BE$5:$BE$48))</f>
        <v>0</v>
      </c>
      <c r="BQ6" s="137">
        <f t="shared" si="14"/>
        <v>10</v>
      </c>
      <c r="BR6" s="137">
        <f t="shared" si="15"/>
        <v>-1</v>
      </c>
      <c r="BS6" s="132">
        <f t="shared" si="16"/>
        <v>1</v>
      </c>
      <c r="BT6" s="35">
        <f aca="true" t="shared" si="39" ref="BT6:BT48">BS6+AF6</f>
        <v>9</v>
      </c>
    </row>
    <row r="7" spans="2:72" ht="12.75">
      <c r="B7" s="132">
        <f t="shared" si="17"/>
        <v>39</v>
      </c>
      <c r="C7" s="211" t="str">
        <f>Teams!B8</f>
        <v>Relkul Setta State University</v>
      </c>
      <c r="D7" s="137" t="str">
        <f>INDEX(Teams!$B$5:$F$45,MATCH(DummyStandings!$C7,Teams!$B$5:$B$45,0),COLUMN()+1)</f>
        <v>Big Eight</v>
      </c>
      <c r="E7" s="165" t="str">
        <f>INDEX(Teams!$B$5:$H$45,MATCH(DummyStandings!$C7,Teams!$B$5:$B$45,0),6)</f>
        <v>RELK</v>
      </c>
      <c r="F7" s="137">
        <f t="shared" si="0"/>
        <v>0</v>
      </c>
      <c r="G7" s="34">
        <f>IF(G$4=$E7,0,IF(AND(INDEX(Results!$B$2:$AB$282,MATCH(DummyStandings!G$4&amp;DummyStandings!$E7,Results!$K$2:$K$282,0),11)=DummyStandings!$E7,INDEX(Results!$B$2:$AB$282,MATCH(DummyStandings!$E7&amp;DummyStandings!G$4,Results!$K$2:$K$282,0),11)=DummyStandings!$E7),2,IF(INDEX(Results!$B$2:$AB$282,MATCH(DummyStandings!G$4&amp;DummyStandings!$E7,Results!$K$2:$K$282,0),11)=DummyStandings!$E7,1,IF(INDEX(Results!$B$2:$AB$282,MATCH(DummyStandings!$E7&amp;DummyStandings!G$4,Results!$K$2:$K$282,0),11)=DummyStandings!$E7,1,0))))</f>
        <v>0</v>
      </c>
      <c r="H7" s="35">
        <f>IF(H$4=$E7,0,INDEX(Results!$B$2:$O$282,MATCH(DummyStandings!$E7&amp;DummyStandings!H$4,Results!$K$2:$K$282,0),3)-INDEX(Results!$B$2:$O$282,MATCH(DummyStandings!$E7&amp;DummyStandings!H$4,Results!$K$2:$K$282,0),4))</f>
        <v>-6</v>
      </c>
      <c r="I7" s="137">
        <f t="shared" si="1"/>
        <v>0</v>
      </c>
      <c r="J7" s="34">
        <f>IF(J$4=$E7,0,IF(AND(INDEX(Results!$B$2:$AB$282,MATCH(DummyStandings!J$4&amp;DummyStandings!$E7,Results!$K$2:$K$282,0),11)=DummyStandings!$E7,INDEX(Results!$B$2:$AB$282,MATCH(DummyStandings!$E7&amp;DummyStandings!J$4,Results!$K$2:$K$282,0),11)=DummyStandings!$E7),2,IF(INDEX(Results!$B$2:$AB$282,MATCH(DummyStandings!J$4&amp;DummyStandings!$E7,Results!$K$2:$K$282,0),11)=DummyStandings!$E7,1,IF(INDEX(Results!$B$2:$AB$282,MATCH(DummyStandings!$E7&amp;DummyStandings!J$4,Results!$K$2:$K$282,0),11)=DummyStandings!$E7,1,0))))</f>
        <v>0</v>
      </c>
      <c r="K7" s="35">
        <f>IF(K$4=$E7,0,INDEX(Results!$B$2:$O$282,MATCH(DummyStandings!$E7&amp;DummyStandings!K$4,Results!$K$2:$K$282,0),3)-INDEX(Results!$B$2:$O$282,MATCH(DummyStandings!$E7&amp;DummyStandings!K$4,Results!$K$2:$K$282,0),4))</f>
        <v>-9</v>
      </c>
      <c r="L7" s="137">
        <f t="shared" si="2"/>
        <v>0</v>
      </c>
      <c r="M7" s="34">
        <f>IF(M$4=$E7,0,IF(AND(INDEX(Results!$B$2:$AB$282,MATCH(DummyStandings!M$4&amp;DummyStandings!$E7,Results!$K$2:$K$282,0),11)=DummyStandings!$E7,INDEX(Results!$B$2:$AB$282,MATCH(DummyStandings!$E7&amp;DummyStandings!M$4,Results!$K$2:$K$282,0),11)=DummyStandings!$E7),2,IF(INDEX(Results!$B$2:$AB$282,MATCH(DummyStandings!M$4&amp;DummyStandings!$E7,Results!$K$2:$K$282,0),11)=DummyStandings!$E7,1,IF(INDEX(Results!$B$2:$AB$282,MATCH(DummyStandings!$E7&amp;DummyStandings!M$4,Results!$K$2:$K$282,0),11)=DummyStandings!$E7,1,0))))</f>
        <v>0</v>
      </c>
      <c r="N7" s="35">
        <f>IF(N$4=$E7,0,INDEX(Results!$B$2:$O$282,MATCH(DummyStandings!$E7&amp;DummyStandings!N$4,Results!$K$2:$K$282,0),3)-INDEX(Results!$B$2:$O$282,MATCH(DummyStandings!$E7&amp;DummyStandings!N$4,Results!$K$2:$K$282,0),4))</f>
        <v>0</v>
      </c>
      <c r="O7" s="137">
        <f t="shared" si="3"/>
        <v>0</v>
      </c>
      <c r="P7" s="34">
        <f>IF(P$4=$E7,0,IF(AND(INDEX(Results!$B$2:$AB$282,MATCH(DummyStandings!P$4&amp;DummyStandings!$E7,Results!$K$2:$K$282,0),11)=DummyStandings!$E7,INDEX(Results!$B$2:$AB$282,MATCH(DummyStandings!$E7&amp;DummyStandings!P$4,Results!$K$2:$K$282,0),11)=DummyStandings!$E7),2,IF(INDEX(Results!$B$2:$AB$282,MATCH(DummyStandings!P$4&amp;DummyStandings!$E7,Results!$K$2:$K$282,0),11)=DummyStandings!$E7,1,IF(INDEX(Results!$B$2:$AB$282,MATCH(DummyStandings!$E7&amp;DummyStandings!P$4,Results!$K$2:$K$282,0),11)=DummyStandings!$E7,1,0))))</f>
        <v>0</v>
      </c>
      <c r="Q7" s="35">
        <f>IF(Q$4=$E7,0,INDEX(Results!$B$2:$O$282,MATCH(DummyStandings!$E7&amp;DummyStandings!Q$4,Results!$K$2:$K$282,0),3)-INDEX(Results!$B$2:$O$282,MATCH(DummyStandings!$E7&amp;DummyStandings!Q$4,Results!$K$2:$K$282,0),4))</f>
        <v>-28</v>
      </c>
      <c r="R7" s="137">
        <f t="shared" si="4"/>
        <v>0</v>
      </c>
      <c r="S7" s="34">
        <f>IF(S$4=$E7,0,IF(AND(INDEX(Results!$B$2:$AB$282,MATCH(DummyStandings!S$4&amp;DummyStandings!$E7,Results!$K$2:$K$282,0),11)=DummyStandings!$E7,INDEX(Results!$B$2:$AB$282,MATCH(DummyStandings!$E7&amp;DummyStandings!S$4,Results!$K$2:$K$282,0),11)=DummyStandings!$E7),2,IF(INDEX(Results!$B$2:$AB$282,MATCH(DummyStandings!S$4&amp;DummyStandings!$E7,Results!$K$2:$K$282,0),11)=DummyStandings!$E7,1,IF(INDEX(Results!$B$2:$AB$282,MATCH(DummyStandings!$E7&amp;DummyStandings!S$4,Results!$K$2:$K$282,0),11)=DummyStandings!$E7,1,0))))</f>
        <v>0</v>
      </c>
      <c r="T7" s="35">
        <f>IF(T$4=$E7,0,INDEX(Results!$B$2:$O$282,MATCH(DummyStandings!$E7&amp;DummyStandings!T$4,Results!$K$2:$K$282,0),3)-INDEX(Results!$B$2:$O$282,MATCH(DummyStandings!$E7&amp;DummyStandings!T$4,Results!$K$2:$K$282,0),4))</f>
        <v>-6</v>
      </c>
      <c r="U7" s="137">
        <f t="shared" si="5"/>
        <v>0</v>
      </c>
      <c r="V7" s="34">
        <f>IF(V$4=$E7,0,IF(AND(INDEX(Results!$B$2:$AB$282,MATCH(DummyStandings!V$4&amp;DummyStandings!$E7,Results!$K$2:$K$282,0),11)=DummyStandings!$E7,INDEX(Results!$B$2:$AB$282,MATCH(DummyStandings!$E7&amp;DummyStandings!V$4,Results!$K$2:$K$282,0),11)=DummyStandings!$E7),2,IF(INDEX(Results!$B$2:$AB$282,MATCH(DummyStandings!V$4&amp;DummyStandings!$E7,Results!$K$2:$K$282,0),11)=DummyStandings!$E7,1,IF(INDEX(Results!$B$2:$AB$282,MATCH(DummyStandings!$E7&amp;DummyStandings!V$4,Results!$K$2:$K$282,0),11)=DummyStandings!$E7,1,0))))</f>
        <v>0</v>
      </c>
      <c r="W7" s="35">
        <f>IF(W$4=$E7,0,INDEX(Results!$B$2:$O$282,MATCH(DummyStandings!$E7&amp;DummyStandings!W$4,Results!$K$2:$K$282,0),3)-INDEX(Results!$B$2:$O$282,MATCH(DummyStandings!$E7&amp;DummyStandings!W$4,Results!$K$2:$K$282,0),4))</f>
        <v>-13</v>
      </c>
      <c r="X7" s="137">
        <f t="shared" si="6"/>
        <v>0</v>
      </c>
      <c r="Y7" s="34">
        <f>IF(Y$4=$E7,0,IF(AND(INDEX(Results!$B$2:$AB$282,MATCH(DummyStandings!Y$4&amp;DummyStandings!$E7,Results!$K$2:$K$282,0),11)=DummyStandings!$E7,INDEX(Results!$B$2:$AB$282,MATCH(DummyStandings!$E7&amp;DummyStandings!Y$4,Results!$K$2:$K$282,0),11)=DummyStandings!$E7),2,IF(INDEX(Results!$B$2:$AB$282,MATCH(DummyStandings!Y$4&amp;DummyStandings!$E7,Results!$K$2:$K$282,0),11)=DummyStandings!$E7,1,IF(INDEX(Results!$B$2:$AB$282,MATCH(DummyStandings!$E7&amp;DummyStandings!Y$4,Results!$K$2:$K$282,0),11)=DummyStandings!$E7,1,0))))</f>
        <v>1</v>
      </c>
      <c r="Z7" s="35">
        <f>IF(Z$4=$E7,0,INDEX(Results!$B$2:$O$282,MATCH(DummyStandings!$E7&amp;DummyStandings!Z$4,Results!$K$2:$K$282,0),3)-INDEX(Results!$B$2:$O$282,MATCH(DummyStandings!$E7&amp;DummyStandings!Z$4,Results!$K$2:$K$282,0),4))</f>
        <v>17</v>
      </c>
      <c r="AA7" s="137">
        <f t="shared" si="7"/>
        <v>0</v>
      </c>
      <c r="AB7" s="34">
        <f>IF(AB$4=$E7,0,IF(AND(INDEX(Results!$B$2:$AB$282,MATCH(DummyStandings!AB$4&amp;DummyStandings!$E7,Results!$K$2:$K$282,0),11)=DummyStandings!$E7,INDEX(Results!$B$2:$AB$282,MATCH(DummyStandings!$E7&amp;DummyStandings!AB$4,Results!$K$2:$K$282,0),11)=DummyStandings!$E7),2,IF(INDEX(Results!$B$2:$AB$282,MATCH(DummyStandings!AB$4&amp;DummyStandings!$E7,Results!$K$2:$K$282,0),11)=DummyStandings!$E7,1,IF(INDEX(Results!$B$2:$AB$282,MATCH(DummyStandings!$E7&amp;DummyStandings!AB$4,Results!$K$2:$K$282,0),11)=DummyStandings!$E7,1,0))))</f>
        <v>0</v>
      </c>
      <c r="AC7" s="35">
        <f>IF(AC$4=$E7,0,INDEX(Results!$B$2:$O$282,MATCH(DummyStandings!$E7&amp;DummyStandings!AC$4,Results!$K$2:$K$282,0),3)-INDEX(Results!$B$2:$O$282,MATCH(DummyStandings!$E7&amp;DummyStandings!AC$4,Results!$K$2:$K$282,0),4))</f>
        <v>-6</v>
      </c>
      <c r="AD7" s="132">
        <f t="shared" si="18"/>
        <v>0</v>
      </c>
      <c r="AE7" s="137">
        <f t="shared" si="18"/>
        <v>0</v>
      </c>
      <c r="AF7" s="137">
        <f t="shared" si="8"/>
        <v>39</v>
      </c>
      <c r="AG7" s="132">
        <f t="shared" si="19"/>
        <v>0</v>
      </c>
      <c r="AH7" s="34">
        <f t="shared" si="9"/>
        <v>0</v>
      </c>
      <c r="AI7" s="137">
        <f t="shared" si="10"/>
        <v>0</v>
      </c>
      <c r="AJ7" s="137">
        <f t="shared" si="11"/>
        <v>0</v>
      </c>
      <c r="AK7" s="137">
        <f t="shared" si="12"/>
        <v>0</v>
      </c>
      <c r="AL7" s="132">
        <f t="shared" si="20"/>
        <v>0</v>
      </c>
      <c r="AM7" s="34">
        <f t="shared" si="21"/>
        <v>14</v>
      </c>
      <c r="AN7" s="34">
        <f t="shared" si="22"/>
        <v>1</v>
      </c>
      <c r="AO7" s="34">
        <f t="shared" si="23"/>
        <v>13</v>
      </c>
      <c r="AP7" s="34">
        <f t="shared" si="24"/>
        <v>111</v>
      </c>
      <c r="AQ7" s="34">
        <f t="shared" si="25"/>
        <v>358</v>
      </c>
      <c r="AR7" s="34">
        <f t="shared" si="26"/>
        <v>-247</v>
      </c>
      <c r="AS7" s="137">
        <f t="shared" si="27"/>
        <v>7</v>
      </c>
      <c r="AT7" s="34">
        <f>SUMPRODUCT((Results!$C$3:$C$282=DummyStandings!$C7)*(Results!$D$3:$D$282&gt;Results!$E$3:$E$282))</f>
        <v>1</v>
      </c>
      <c r="AU7" s="34">
        <f>SUMPRODUCT((Results!$C$3:$C$282=DummyStandings!$C7)*(Results!$D$3:$D$282&lt;Results!$E$3:$E$282))</f>
        <v>6</v>
      </c>
      <c r="AV7" s="34">
        <f>SUMIF(Results!$C$3:$C$282,$C7,Results!$D$3:$D$282)</f>
        <v>75</v>
      </c>
      <c r="AW7" s="34">
        <f>SUMIF(Results!$C$3:$C$282,$C7,Results!$E$3:$E$282)</f>
        <v>126</v>
      </c>
      <c r="AX7" s="34">
        <f t="shared" si="28"/>
        <v>-51</v>
      </c>
      <c r="AY7" s="137">
        <f t="shared" si="29"/>
        <v>7</v>
      </c>
      <c r="AZ7" s="34">
        <f>SUMPRODUCT((Results!$F$3:$F$282=DummyStandings!$C7)*(Results!$E$3:$E$282&gt;Results!$D$3:$D$282))</f>
        <v>0</v>
      </c>
      <c r="BA7" s="34">
        <f>SUMPRODUCT((Results!$F$3:$F$282=DummyStandings!$C7)*(Results!$E$3:$E$282&lt;Results!$D$3:$D$282))</f>
        <v>7</v>
      </c>
      <c r="BB7" s="34">
        <f>SUMIF(Results!$F$3:$F$282,$C7,Results!$E$3:$E$282)</f>
        <v>36</v>
      </c>
      <c r="BC7" s="34">
        <f>SUMIF(Results!$F$3:$F$282,$C7,Results!$D$3:$D$282)</f>
        <v>232</v>
      </c>
      <c r="BD7" s="35">
        <f t="shared" si="30"/>
        <v>-196</v>
      </c>
      <c r="BE7" s="34">
        <f>INDEX(Teams!$B$5:$H$45,MATCH(DummyStandings!E7,Teams!$G$5:$G$45,0),7)</f>
        <v>28</v>
      </c>
      <c r="BF7" s="272">
        <f aca="true" t="shared" si="40" ref="BF7:BF48">((AT7*0.6)+(AZ7*1.4))/$AM7</f>
        <v>0.04285714285714286</v>
      </c>
      <c r="BG7" s="275">
        <f t="shared" si="31"/>
        <v>0.42428571428571427</v>
      </c>
      <c r="BH7" s="275">
        <f aca="true" t="shared" si="41" ref="BH7:BH48">((2*BF7)+BG7)/3</f>
        <v>0.17</v>
      </c>
      <c r="BI7" s="34">
        <v>1</v>
      </c>
      <c r="BJ7" s="132">
        <f t="shared" si="32"/>
        <v>38</v>
      </c>
      <c r="BK7" s="35">
        <f t="shared" si="33"/>
        <v>0</v>
      </c>
      <c r="BL7" s="35">
        <f t="shared" si="34"/>
        <v>0</v>
      </c>
      <c r="BM7" s="35">
        <f t="shared" si="35"/>
        <v>0</v>
      </c>
      <c r="BN7" s="35">
        <f t="shared" si="36"/>
        <v>0</v>
      </c>
      <c r="BO7" s="35">
        <f t="shared" si="37"/>
        <v>0</v>
      </c>
      <c r="BP7" s="137">
        <f t="shared" si="38"/>
        <v>0</v>
      </c>
      <c r="BQ7" s="137">
        <f t="shared" si="14"/>
        <v>39</v>
      </c>
      <c r="BR7" s="137">
        <f t="shared" si="15"/>
        <v>0</v>
      </c>
      <c r="BS7" s="132">
        <f t="shared" si="16"/>
        <v>0</v>
      </c>
      <c r="BT7" s="35">
        <f t="shared" si="39"/>
        <v>39</v>
      </c>
    </row>
    <row r="8" spans="2:72" ht="12.75">
      <c r="B8" s="132">
        <f t="shared" si="17"/>
        <v>12</v>
      </c>
      <c r="C8" s="211" t="str">
        <f>Teams!B9</f>
        <v>Saugeais State University</v>
      </c>
      <c r="D8" s="137" t="str">
        <f>INDEX(Teams!$B$5:$F$45,MATCH(DummyStandings!$C8,Teams!$B$5:$B$45,0),COLUMN()+1)</f>
        <v>Big Eight</v>
      </c>
      <c r="E8" s="165" t="str">
        <f>INDEX(Teams!$B$5:$H$45,MATCH(DummyStandings!$C8,Teams!$B$5:$B$45,0),6)</f>
        <v>SAUG</v>
      </c>
      <c r="F8" s="137">
        <f t="shared" si="0"/>
        <v>0</v>
      </c>
      <c r="G8" s="34">
        <f>IF(G$4=$E8,0,IF(AND(INDEX(Results!$B$2:$AB$282,MATCH(DummyStandings!G$4&amp;DummyStandings!$E8,Results!$K$2:$K$282,0),11)=DummyStandings!$E8,INDEX(Results!$B$2:$AB$282,MATCH(DummyStandings!$E8&amp;DummyStandings!G$4,Results!$K$2:$K$282,0),11)=DummyStandings!$E8),2,IF(INDEX(Results!$B$2:$AB$282,MATCH(DummyStandings!G$4&amp;DummyStandings!$E8,Results!$K$2:$K$282,0),11)=DummyStandings!$E8,1,IF(INDEX(Results!$B$2:$AB$282,MATCH(DummyStandings!$E8&amp;DummyStandings!G$4,Results!$K$2:$K$282,0),11)=DummyStandings!$E8,1,0))))</f>
        <v>1</v>
      </c>
      <c r="H8" s="35">
        <f>IF(H$4=$E8,0,INDEX(Results!$B$2:$O$282,MATCH(DummyStandings!$E8&amp;DummyStandings!H$4,Results!$K$2:$K$282,0),3)-INDEX(Results!$B$2:$O$282,MATCH(DummyStandings!$E8&amp;DummyStandings!H$4,Results!$K$2:$K$282,0),4))</f>
        <v>-11</v>
      </c>
      <c r="I8" s="137">
        <f t="shared" si="1"/>
        <v>0</v>
      </c>
      <c r="J8" s="34">
        <f>IF(J$4=$E8,0,IF(AND(INDEX(Results!$B$2:$AB$282,MATCH(DummyStandings!J$4&amp;DummyStandings!$E8,Results!$K$2:$K$282,0),11)=DummyStandings!$E8,INDEX(Results!$B$2:$AB$282,MATCH(DummyStandings!$E8&amp;DummyStandings!J$4,Results!$K$2:$K$282,0),11)=DummyStandings!$E8),2,IF(INDEX(Results!$B$2:$AB$282,MATCH(DummyStandings!J$4&amp;DummyStandings!$E8,Results!$K$2:$K$282,0),11)=DummyStandings!$E8,1,IF(INDEX(Results!$B$2:$AB$282,MATCH(DummyStandings!$E8&amp;DummyStandings!J$4,Results!$K$2:$K$282,0),11)=DummyStandings!$E8,1,0))))</f>
        <v>1</v>
      </c>
      <c r="K8" s="35">
        <f>IF(K$4=$E8,0,INDEX(Results!$B$2:$O$282,MATCH(DummyStandings!$E8&amp;DummyStandings!K$4,Results!$K$2:$K$282,0),3)-INDEX(Results!$B$2:$O$282,MATCH(DummyStandings!$E8&amp;DummyStandings!K$4,Results!$K$2:$K$282,0),4))</f>
        <v>14</v>
      </c>
      <c r="L8" s="137">
        <f t="shared" si="2"/>
        <v>0</v>
      </c>
      <c r="M8" s="34">
        <f>IF(M$4=$E8,0,IF(AND(INDEX(Results!$B$2:$AB$282,MATCH(DummyStandings!M$4&amp;DummyStandings!$E8,Results!$K$2:$K$282,0),11)=DummyStandings!$E8,INDEX(Results!$B$2:$AB$282,MATCH(DummyStandings!$E8&amp;DummyStandings!M$4,Results!$K$2:$K$282,0),11)=DummyStandings!$E8),2,IF(INDEX(Results!$B$2:$AB$282,MATCH(DummyStandings!M$4&amp;DummyStandings!$E8,Results!$K$2:$K$282,0),11)=DummyStandings!$E8,1,IF(INDEX(Results!$B$2:$AB$282,MATCH(DummyStandings!$E8&amp;DummyStandings!M$4,Results!$K$2:$K$282,0),11)=DummyStandings!$E8,1,0))))</f>
        <v>2</v>
      </c>
      <c r="N8" s="35">
        <f>IF(N$4=$E8,0,INDEX(Results!$B$2:$O$282,MATCH(DummyStandings!$E8&amp;DummyStandings!N$4,Results!$K$2:$K$282,0),3)-INDEX(Results!$B$2:$O$282,MATCH(DummyStandings!$E8&amp;DummyStandings!N$4,Results!$K$2:$K$282,0),4))</f>
        <v>26</v>
      </c>
      <c r="O8" s="137">
        <f t="shared" si="3"/>
        <v>0</v>
      </c>
      <c r="P8" s="34">
        <f>IF(P$4=$E8,0,IF(AND(INDEX(Results!$B$2:$AB$282,MATCH(DummyStandings!P$4&amp;DummyStandings!$E8,Results!$K$2:$K$282,0),11)=DummyStandings!$E8,INDEX(Results!$B$2:$AB$282,MATCH(DummyStandings!$E8&amp;DummyStandings!P$4,Results!$K$2:$K$282,0),11)=DummyStandings!$E8),2,IF(INDEX(Results!$B$2:$AB$282,MATCH(DummyStandings!P$4&amp;DummyStandings!$E8,Results!$K$2:$K$282,0),11)=DummyStandings!$E8,1,IF(INDEX(Results!$B$2:$AB$282,MATCH(DummyStandings!$E8&amp;DummyStandings!P$4,Results!$K$2:$K$282,0),11)=DummyStandings!$E8,1,0))))</f>
        <v>0</v>
      </c>
      <c r="Q8" s="35">
        <f>IF(Q$4=$E8,0,INDEX(Results!$B$2:$O$282,MATCH(DummyStandings!$E8&amp;DummyStandings!Q$4,Results!$K$2:$K$282,0),3)-INDEX(Results!$B$2:$O$282,MATCH(DummyStandings!$E8&amp;DummyStandings!Q$4,Results!$K$2:$K$282,0),4))</f>
        <v>0</v>
      </c>
      <c r="R8" s="137">
        <f t="shared" si="4"/>
        <v>0</v>
      </c>
      <c r="S8" s="34">
        <f>IF(S$4=$E8,0,IF(AND(INDEX(Results!$B$2:$AB$282,MATCH(DummyStandings!S$4&amp;DummyStandings!$E8,Results!$K$2:$K$282,0),11)=DummyStandings!$E8,INDEX(Results!$B$2:$AB$282,MATCH(DummyStandings!$E8&amp;DummyStandings!S$4,Results!$K$2:$K$282,0),11)=DummyStandings!$E8),2,IF(INDEX(Results!$B$2:$AB$282,MATCH(DummyStandings!S$4&amp;DummyStandings!$E8,Results!$K$2:$K$282,0),11)=DummyStandings!$E8,1,IF(INDEX(Results!$B$2:$AB$282,MATCH(DummyStandings!$E8&amp;DummyStandings!S$4,Results!$K$2:$K$282,0),11)=DummyStandings!$E8,1,0))))</f>
        <v>1</v>
      </c>
      <c r="T8" s="35">
        <f>IF(T$4=$E8,0,INDEX(Results!$B$2:$O$282,MATCH(DummyStandings!$E8&amp;DummyStandings!T$4,Results!$K$2:$K$282,0),3)-INDEX(Results!$B$2:$O$282,MATCH(DummyStandings!$E8&amp;DummyStandings!T$4,Results!$K$2:$K$282,0),4))</f>
        <v>3</v>
      </c>
      <c r="U8" s="137">
        <f t="shared" si="5"/>
        <v>0</v>
      </c>
      <c r="V8" s="34">
        <f>IF(V$4=$E8,0,IF(AND(INDEX(Results!$B$2:$AB$282,MATCH(DummyStandings!V$4&amp;DummyStandings!$E8,Results!$K$2:$K$282,0),11)=DummyStandings!$E8,INDEX(Results!$B$2:$AB$282,MATCH(DummyStandings!$E8&amp;DummyStandings!V$4,Results!$K$2:$K$282,0),11)=DummyStandings!$E8),2,IF(INDEX(Results!$B$2:$AB$282,MATCH(DummyStandings!V$4&amp;DummyStandings!$E8,Results!$K$2:$K$282,0),11)=DummyStandings!$E8,1,IF(INDEX(Results!$B$2:$AB$282,MATCH(DummyStandings!$E8&amp;DummyStandings!V$4,Results!$K$2:$K$282,0),11)=DummyStandings!$E8,1,0))))</f>
        <v>1</v>
      </c>
      <c r="W8" s="35">
        <f>IF(W$4=$E8,0,INDEX(Results!$B$2:$O$282,MATCH(DummyStandings!$E8&amp;DummyStandings!W$4,Results!$K$2:$K$282,0),3)-INDEX(Results!$B$2:$O$282,MATCH(DummyStandings!$E8&amp;DummyStandings!W$4,Results!$K$2:$K$282,0),4))</f>
        <v>33</v>
      </c>
      <c r="X8" s="137">
        <f t="shared" si="6"/>
        <v>0</v>
      </c>
      <c r="Y8" s="34">
        <f>IF(Y$4=$E8,0,IF(AND(INDEX(Results!$B$2:$AB$282,MATCH(DummyStandings!Y$4&amp;DummyStandings!$E8,Results!$K$2:$K$282,0),11)=DummyStandings!$E8,INDEX(Results!$B$2:$AB$282,MATCH(DummyStandings!$E8&amp;DummyStandings!Y$4,Results!$K$2:$K$282,0),11)=DummyStandings!$E8),2,IF(INDEX(Results!$B$2:$AB$282,MATCH(DummyStandings!Y$4&amp;DummyStandings!$E8,Results!$K$2:$K$282,0),11)=DummyStandings!$E8,1,IF(INDEX(Results!$B$2:$AB$282,MATCH(DummyStandings!$E8&amp;DummyStandings!Y$4,Results!$K$2:$K$282,0),11)=DummyStandings!$E8,1,0))))</f>
        <v>2</v>
      </c>
      <c r="Z8" s="35">
        <f>IF(Z$4=$E8,0,INDEX(Results!$B$2:$O$282,MATCH(DummyStandings!$E8&amp;DummyStandings!Z$4,Results!$K$2:$K$282,0),3)-INDEX(Results!$B$2:$O$282,MATCH(DummyStandings!$E8&amp;DummyStandings!Z$4,Results!$K$2:$K$282,0),4))</f>
        <v>21</v>
      </c>
      <c r="AA8" s="137">
        <f t="shared" si="7"/>
        <v>0</v>
      </c>
      <c r="AB8" s="34">
        <f>IF(AB$4=$E8,0,IF(AND(INDEX(Results!$B$2:$AB$282,MATCH(DummyStandings!AB$4&amp;DummyStandings!$E8,Results!$K$2:$K$282,0),11)=DummyStandings!$E8,INDEX(Results!$B$2:$AB$282,MATCH(DummyStandings!$E8&amp;DummyStandings!AB$4,Results!$K$2:$K$282,0),11)=DummyStandings!$E8),2,IF(INDEX(Results!$B$2:$AB$282,MATCH(DummyStandings!AB$4&amp;DummyStandings!$E8,Results!$K$2:$K$282,0),11)=DummyStandings!$E8,1,IF(INDEX(Results!$B$2:$AB$282,MATCH(DummyStandings!$E8&amp;DummyStandings!AB$4,Results!$K$2:$K$282,0),11)=DummyStandings!$E8,1,0))))</f>
        <v>2</v>
      </c>
      <c r="AC8" s="35">
        <f>IF(AC$4=$E8,0,INDEX(Results!$B$2:$O$282,MATCH(DummyStandings!$E8&amp;DummyStandings!AC$4,Results!$K$2:$K$282,0),3)-INDEX(Results!$B$2:$O$282,MATCH(DummyStandings!$E8&amp;DummyStandings!AC$4,Results!$K$2:$K$282,0),4))</f>
        <v>16</v>
      </c>
      <c r="AD8" s="132">
        <f t="shared" si="18"/>
        <v>0</v>
      </c>
      <c r="AE8" s="137">
        <f t="shared" si="18"/>
        <v>0</v>
      </c>
      <c r="AF8" s="137">
        <f t="shared" si="8"/>
        <v>11</v>
      </c>
      <c r="AG8" s="132">
        <f t="shared" si="19"/>
        <v>0</v>
      </c>
      <c r="AH8" s="34">
        <f t="shared" si="9"/>
        <v>0</v>
      </c>
      <c r="AI8" s="137">
        <f t="shared" si="10"/>
        <v>1</v>
      </c>
      <c r="AJ8" s="137">
        <f t="shared" si="11"/>
        <v>0</v>
      </c>
      <c r="AK8" s="137">
        <f t="shared" si="12"/>
        <v>0</v>
      </c>
      <c r="AL8" s="132">
        <f t="shared" si="20"/>
        <v>0</v>
      </c>
      <c r="AM8" s="34">
        <f t="shared" si="21"/>
        <v>14</v>
      </c>
      <c r="AN8" s="34">
        <f t="shared" si="22"/>
        <v>10</v>
      </c>
      <c r="AO8" s="34">
        <f t="shared" si="23"/>
        <v>4</v>
      </c>
      <c r="AP8" s="34">
        <f t="shared" si="24"/>
        <v>265</v>
      </c>
      <c r="AQ8" s="34">
        <f t="shared" si="25"/>
        <v>127</v>
      </c>
      <c r="AR8" s="34">
        <f t="shared" si="26"/>
        <v>138</v>
      </c>
      <c r="AS8" s="137">
        <f t="shared" si="27"/>
        <v>7</v>
      </c>
      <c r="AT8" s="34">
        <f>SUMPRODUCT((Results!$C$3:$C$282=DummyStandings!$C8)*(Results!$D$3:$D$282&gt;Results!$E$3:$E$282))</f>
        <v>6</v>
      </c>
      <c r="AU8" s="34">
        <f>SUMPRODUCT((Results!$C$3:$C$282=DummyStandings!$C8)*(Results!$D$3:$D$282&lt;Results!$E$3:$E$282))</f>
        <v>1</v>
      </c>
      <c r="AV8" s="34">
        <f>SUMIF(Results!$C$3:$C$282,$C8,Results!$D$3:$D$282)</f>
        <v>155</v>
      </c>
      <c r="AW8" s="34">
        <f>SUMIF(Results!$C$3:$C$282,$C8,Results!$E$3:$E$282)</f>
        <v>53</v>
      </c>
      <c r="AX8" s="34">
        <f t="shared" si="28"/>
        <v>102</v>
      </c>
      <c r="AY8" s="137">
        <f t="shared" si="29"/>
        <v>7</v>
      </c>
      <c r="AZ8" s="34">
        <f>SUMPRODUCT((Results!$F$3:$F$282=DummyStandings!$C8)*(Results!$E$3:$E$282&gt;Results!$D$3:$D$282))</f>
        <v>4</v>
      </c>
      <c r="BA8" s="34">
        <f>SUMPRODUCT((Results!$F$3:$F$282=DummyStandings!$C8)*(Results!$E$3:$E$282&lt;Results!$D$3:$D$282))</f>
        <v>3</v>
      </c>
      <c r="BB8" s="34">
        <f>SUMIF(Results!$F$3:$F$282,$C8,Results!$E$3:$E$282)</f>
        <v>110</v>
      </c>
      <c r="BC8" s="34">
        <f>SUMIF(Results!$F$3:$F$282,$C8,Results!$D$3:$D$282)</f>
        <v>74</v>
      </c>
      <c r="BD8" s="35">
        <f t="shared" si="30"/>
        <v>36</v>
      </c>
      <c r="BE8" s="34">
        <f>INDEX(Teams!$B$5:$H$45,MATCH(DummyStandings!E8,Teams!$G$5:$G$45,0),7)</f>
        <v>8</v>
      </c>
      <c r="BF8" s="272">
        <f t="shared" si="40"/>
        <v>0.6571428571428571</v>
      </c>
      <c r="BG8" s="275">
        <f t="shared" si="31"/>
        <v>0.3628571428571428</v>
      </c>
      <c r="BH8" s="275">
        <f t="shared" si="41"/>
        <v>0.559047619047619</v>
      </c>
      <c r="BI8" s="34">
        <v>1</v>
      </c>
      <c r="BJ8" s="132">
        <f t="shared" si="32"/>
        <v>11</v>
      </c>
      <c r="BK8" s="35">
        <f t="shared" si="33"/>
        <v>0</v>
      </c>
      <c r="BL8" s="35">
        <f t="shared" si="34"/>
        <v>0</v>
      </c>
      <c r="BM8" s="35">
        <f t="shared" si="35"/>
        <v>0</v>
      </c>
      <c r="BN8" s="35">
        <f t="shared" si="36"/>
        <v>0</v>
      </c>
      <c r="BO8" s="35">
        <f t="shared" si="37"/>
        <v>0</v>
      </c>
      <c r="BP8" s="137">
        <f t="shared" si="38"/>
        <v>0</v>
      </c>
      <c r="BQ8" s="137">
        <f t="shared" si="14"/>
        <v>12</v>
      </c>
      <c r="BR8" s="137">
        <f t="shared" si="15"/>
        <v>0</v>
      </c>
      <c r="BS8" s="132">
        <f t="shared" si="16"/>
        <v>1</v>
      </c>
      <c r="BT8" s="35">
        <f t="shared" si="39"/>
        <v>12</v>
      </c>
    </row>
    <row r="9" spans="2:72" ht="12.75">
      <c r="B9" s="132">
        <f t="shared" si="17"/>
        <v>7</v>
      </c>
      <c r="C9" s="211" t="str">
        <f>Teams!B10</f>
        <v>Scott City University</v>
      </c>
      <c r="D9" s="137" t="str">
        <f>INDEX(Teams!$B$5:$F$45,MATCH(DummyStandings!$C9,Teams!$B$5:$B$45,0),COLUMN()+1)</f>
        <v>Big Eight</v>
      </c>
      <c r="E9" s="165" t="str">
        <f>INDEX(Teams!$B$5:$H$45,MATCH(DummyStandings!$C9,Teams!$B$5:$B$45,0),6)</f>
        <v>SCTT</v>
      </c>
      <c r="F9" s="137">
        <f t="shared" si="0"/>
        <v>0</v>
      </c>
      <c r="G9" s="34">
        <f>IF(G$4=$E9,0,IF(AND(INDEX(Results!$B$2:$AB$282,MATCH(DummyStandings!G$4&amp;DummyStandings!$E9,Results!$K$2:$K$282,0),11)=DummyStandings!$E9,INDEX(Results!$B$2:$AB$282,MATCH(DummyStandings!$E9&amp;DummyStandings!G$4,Results!$K$2:$K$282,0),11)=DummyStandings!$E9),2,IF(INDEX(Results!$B$2:$AB$282,MATCH(DummyStandings!G$4&amp;DummyStandings!$E9,Results!$K$2:$K$282,0),11)=DummyStandings!$E9,1,IF(INDEX(Results!$B$2:$AB$282,MATCH(DummyStandings!$E9&amp;DummyStandings!G$4,Results!$K$2:$K$282,0),11)=DummyStandings!$E9,1,0))))</f>
        <v>2</v>
      </c>
      <c r="H9" s="35">
        <f>IF(H$4=$E9,0,INDEX(Results!$B$2:$O$282,MATCH(DummyStandings!$E9&amp;DummyStandings!H$4,Results!$K$2:$K$282,0),3)-INDEX(Results!$B$2:$O$282,MATCH(DummyStandings!$E9&amp;DummyStandings!H$4,Results!$K$2:$K$282,0),4))</f>
        <v>7</v>
      </c>
      <c r="I9" s="137">
        <f t="shared" si="1"/>
        <v>0</v>
      </c>
      <c r="J9" s="34">
        <f>IF(J$4=$E9,0,IF(AND(INDEX(Results!$B$2:$AB$282,MATCH(DummyStandings!J$4&amp;DummyStandings!$E9,Results!$K$2:$K$282,0),11)=DummyStandings!$E9,INDEX(Results!$B$2:$AB$282,MATCH(DummyStandings!$E9&amp;DummyStandings!J$4,Results!$K$2:$K$282,0),11)=DummyStandings!$E9),2,IF(INDEX(Results!$B$2:$AB$282,MATCH(DummyStandings!J$4&amp;DummyStandings!$E9,Results!$K$2:$K$282,0),11)=DummyStandings!$E9,1,IF(INDEX(Results!$B$2:$AB$282,MATCH(DummyStandings!$E9&amp;DummyStandings!J$4,Results!$K$2:$K$282,0),11)=DummyStandings!$E9,1,0))))</f>
        <v>1</v>
      </c>
      <c r="K9" s="35">
        <f>IF(K$4=$E9,0,INDEX(Results!$B$2:$O$282,MATCH(DummyStandings!$E9&amp;DummyStandings!K$4,Results!$K$2:$K$282,0),3)-INDEX(Results!$B$2:$O$282,MATCH(DummyStandings!$E9&amp;DummyStandings!K$4,Results!$K$2:$K$282,0),4))</f>
        <v>3</v>
      </c>
      <c r="L9" s="137">
        <f t="shared" si="2"/>
        <v>0</v>
      </c>
      <c r="M9" s="34">
        <f>IF(M$4=$E9,0,IF(AND(INDEX(Results!$B$2:$AB$282,MATCH(DummyStandings!M$4&amp;DummyStandings!$E9,Results!$K$2:$K$282,0),11)=DummyStandings!$E9,INDEX(Results!$B$2:$AB$282,MATCH(DummyStandings!$E9&amp;DummyStandings!M$4,Results!$K$2:$K$282,0),11)=DummyStandings!$E9),2,IF(INDEX(Results!$B$2:$AB$282,MATCH(DummyStandings!M$4&amp;DummyStandings!$E9,Results!$K$2:$K$282,0),11)=DummyStandings!$E9,1,IF(INDEX(Results!$B$2:$AB$282,MATCH(DummyStandings!$E9&amp;DummyStandings!M$4,Results!$K$2:$K$282,0),11)=DummyStandings!$E9,1,0))))</f>
        <v>2</v>
      </c>
      <c r="N9" s="35">
        <f>IF(N$4=$E9,0,INDEX(Results!$B$2:$O$282,MATCH(DummyStandings!$E9&amp;DummyStandings!N$4,Results!$K$2:$K$282,0),3)-INDEX(Results!$B$2:$O$282,MATCH(DummyStandings!$E9&amp;DummyStandings!N$4,Results!$K$2:$K$282,0),4))</f>
        <v>43</v>
      </c>
      <c r="O9" s="137">
        <f t="shared" si="3"/>
        <v>0</v>
      </c>
      <c r="P9" s="34">
        <f>IF(P$4=$E9,0,IF(AND(INDEX(Results!$B$2:$AB$282,MATCH(DummyStandings!P$4&amp;DummyStandings!$E9,Results!$K$2:$K$282,0),11)=DummyStandings!$E9,INDEX(Results!$B$2:$AB$282,MATCH(DummyStandings!$E9&amp;DummyStandings!P$4,Results!$K$2:$K$282,0),11)=DummyStandings!$E9),2,IF(INDEX(Results!$B$2:$AB$282,MATCH(DummyStandings!P$4&amp;DummyStandings!$E9,Results!$K$2:$K$282,0),11)=DummyStandings!$E9,1,IF(INDEX(Results!$B$2:$AB$282,MATCH(DummyStandings!$E9&amp;DummyStandings!P$4,Results!$K$2:$K$282,0),11)=DummyStandings!$E9,1,0))))</f>
        <v>1</v>
      </c>
      <c r="Q9" s="35">
        <f>IF(Q$4=$E9,0,INDEX(Results!$B$2:$O$282,MATCH(DummyStandings!$E9&amp;DummyStandings!Q$4,Results!$K$2:$K$282,0),3)-INDEX(Results!$B$2:$O$282,MATCH(DummyStandings!$E9&amp;DummyStandings!Q$4,Results!$K$2:$K$282,0),4))</f>
        <v>8</v>
      </c>
      <c r="R9" s="137">
        <f t="shared" si="4"/>
        <v>0</v>
      </c>
      <c r="S9" s="34">
        <f>IF(S$4=$E9,0,IF(AND(INDEX(Results!$B$2:$AB$282,MATCH(DummyStandings!S$4&amp;DummyStandings!$E9,Results!$K$2:$K$282,0),11)=DummyStandings!$E9,INDEX(Results!$B$2:$AB$282,MATCH(DummyStandings!$E9&amp;DummyStandings!S$4,Results!$K$2:$K$282,0),11)=DummyStandings!$E9),2,IF(INDEX(Results!$B$2:$AB$282,MATCH(DummyStandings!S$4&amp;DummyStandings!$E9,Results!$K$2:$K$282,0),11)=DummyStandings!$E9,1,IF(INDEX(Results!$B$2:$AB$282,MATCH(DummyStandings!$E9&amp;DummyStandings!S$4,Results!$K$2:$K$282,0),11)=DummyStandings!$E9,1,0))))</f>
        <v>0</v>
      </c>
      <c r="T9" s="35">
        <f>IF(T$4=$E9,0,INDEX(Results!$B$2:$O$282,MATCH(DummyStandings!$E9&amp;DummyStandings!T$4,Results!$K$2:$K$282,0),3)-INDEX(Results!$B$2:$O$282,MATCH(DummyStandings!$E9&amp;DummyStandings!T$4,Results!$K$2:$K$282,0),4))</f>
        <v>0</v>
      </c>
      <c r="U9" s="137">
        <f t="shared" si="5"/>
        <v>0</v>
      </c>
      <c r="V9" s="34">
        <f>IF(V$4=$E9,0,IF(AND(INDEX(Results!$B$2:$AB$282,MATCH(DummyStandings!V$4&amp;DummyStandings!$E9,Results!$K$2:$K$282,0),11)=DummyStandings!$E9,INDEX(Results!$B$2:$AB$282,MATCH(DummyStandings!$E9&amp;DummyStandings!V$4,Results!$K$2:$K$282,0),11)=DummyStandings!$E9),2,IF(INDEX(Results!$B$2:$AB$282,MATCH(DummyStandings!V$4&amp;DummyStandings!$E9,Results!$K$2:$K$282,0),11)=DummyStandings!$E9,1,IF(INDEX(Results!$B$2:$AB$282,MATCH(DummyStandings!$E9&amp;DummyStandings!V$4,Results!$K$2:$K$282,0),11)=DummyStandings!$E9,1,0))))</f>
        <v>2</v>
      </c>
      <c r="W9" s="35">
        <f>IF(W$4=$E9,0,INDEX(Results!$B$2:$O$282,MATCH(DummyStandings!$E9&amp;DummyStandings!W$4,Results!$K$2:$K$282,0),3)-INDEX(Results!$B$2:$O$282,MATCH(DummyStandings!$E9&amp;DummyStandings!W$4,Results!$K$2:$K$282,0),4))</f>
        <v>2</v>
      </c>
      <c r="X9" s="137">
        <f t="shared" si="6"/>
        <v>0</v>
      </c>
      <c r="Y9" s="34">
        <f>IF(Y$4=$E9,0,IF(AND(INDEX(Results!$B$2:$AB$282,MATCH(DummyStandings!Y$4&amp;DummyStandings!$E9,Results!$K$2:$K$282,0),11)=DummyStandings!$E9,INDEX(Results!$B$2:$AB$282,MATCH(DummyStandings!$E9&amp;DummyStandings!Y$4,Results!$K$2:$K$282,0),11)=DummyStandings!$E9),2,IF(INDEX(Results!$B$2:$AB$282,MATCH(DummyStandings!Y$4&amp;DummyStandings!$E9,Results!$K$2:$K$282,0),11)=DummyStandings!$E9,1,IF(INDEX(Results!$B$2:$AB$282,MATCH(DummyStandings!$E9&amp;DummyStandings!Y$4,Results!$K$2:$K$282,0),11)=DummyStandings!$E9,1,0))))</f>
        <v>2</v>
      </c>
      <c r="Z9" s="35">
        <f>IF(Z$4=$E9,0,INDEX(Results!$B$2:$O$282,MATCH(DummyStandings!$E9&amp;DummyStandings!Z$4,Results!$K$2:$K$282,0),3)-INDEX(Results!$B$2:$O$282,MATCH(DummyStandings!$E9&amp;DummyStandings!Z$4,Results!$K$2:$K$282,0),4))</f>
        <v>21</v>
      </c>
      <c r="AA9" s="137">
        <f t="shared" si="7"/>
        <v>0</v>
      </c>
      <c r="AB9" s="34">
        <f>IF(AB$4=$E9,0,IF(AND(INDEX(Results!$B$2:$AB$282,MATCH(DummyStandings!AB$4&amp;DummyStandings!$E9,Results!$K$2:$K$282,0),11)=DummyStandings!$E9,INDEX(Results!$B$2:$AB$282,MATCH(DummyStandings!$E9&amp;DummyStandings!AB$4,Results!$K$2:$K$282,0),11)=DummyStandings!$E9),2,IF(INDEX(Results!$B$2:$AB$282,MATCH(DummyStandings!AB$4&amp;DummyStandings!$E9,Results!$K$2:$K$282,0),11)=DummyStandings!$E9,1,IF(INDEX(Results!$B$2:$AB$282,MATCH(DummyStandings!$E9&amp;DummyStandings!AB$4,Results!$K$2:$K$282,0),11)=DummyStandings!$E9,1,0))))</f>
        <v>2</v>
      </c>
      <c r="AC9" s="35">
        <f>IF(AC$4=$E9,0,INDEX(Results!$B$2:$O$282,MATCH(DummyStandings!$E9&amp;DummyStandings!AC$4,Results!$K$2:$K$282,0),3)-INDEX(Results!$B$2:$O$282,MATCH(DummyStandings!$E9&amp;DummyStandings!AC$4,Results!$K$2:$K$282,0),4))</f>
        <v>23</v>
      </c>
      <c r="AD9" s="132">
        <f t="shared" si="18"/>
        <v>0</v>
      </c>
      <c r="AE9" s="137">
        <f t="shared" si="18"/>
        <v>0</v>
      </c>
      <c r="AF9" s="137">
        <f t="shared" si="8"/>
        <v>4</v>
      </c>
      <c r="AG9" s="132">
        <f t="shared" si="19"/>
        <v>1</v>
      </c>
      <c r="AH9" s="34">
        <f t="shared" si="9"/>
        <v>0</v>
      </c>
      <c r="AI9" s="137">
        <f t="shared" si="10"/>
        <v>2</v>
      </c>
      <c r="AJ9" s="137">
        <f t="shared" si="11"/>
        <v>0</v>
      </c>
      <c r="AK9" s="137">
        <f t="shared" si="12"/>
        <v>0</v>
      </c>
      <c r="AL9" s="132">
        <f t="shared" si="20"/>
        <v>0</v>
      </c>
      <c r="AM9" s="34">
        <f t="shared" si="21"/>
        <v>14</v>
      </c>
      <c r="AN9" s="34">
        <f t="shared" si="22"/>
        <v>12</v>
      </c>
      <c r="AO9" s="34">
        <f t="shared" si="23"/>
        <v>2</v>
      </c>
      <c r="AP9" s="34">
        <f t="shared" si="24"/>
        <v>295</v>
      </c>
      <c r="AQ9" s="34">
        <f t="shared" si="25"/>
        <v>146</v>
      </c>
      <c r="AR9" s="34">
        <f t="shared" si="26"/>
        <v>149</v>
      </c>
      <c r="AS9" s="137">
        <f t="shared" si="27"/>
        <v>7</v>
      </c>
      <c r="AT9" s="34">
        <f>SUMPRODUCT((Results!$C$3:$C$282=DummyStandings!$C9)*(Results!$D$3:$D$282&gt;Results!$E$3:$E$282))</f>
        <v>7</v>
      </c>
      <c r="AU9" s="34">
        <f>SUMPRODUCT((Results!$C$3:$C$282=DummyStandings!$C9)*(Results!$D$3:$D$282&lt;Results!$E$3:$E$282))</f>
        <v>0</v>
      </c>
      <c r="AV9" s="34">
        <f>SUMIF(Results!$C$3:$C$282,$C9,Results!$D$3:$D$282)</f>
        <v>161</v>
      </c>
      <c r="AW9" s="34">
        <f>SUMIF(Results!$C$3:$C$282,$C9,Results!$E$3:$E$282)</f>
        <v>54</v>
      </c>
      <c r="AX9" s="34">
        <f t="shared" si="28"/>
        <v>107</v>
      </c>
      <c r="AY9" s="137">
        <f t="shared" si="29"/>
        <v>7</v>
      </c>
      <c r="AZ9" s="34">
        <f>SUMPRODUCT((Results!$F$3:$F$282=DummyStandings!$C9)*(Results!$E$3:$E$282&gt;Results!$D$3:$D$282))</f>
        <v>5</v>
      </c>
      <c r="BA9" s="34">
        <f>SUMPRODUCT((Results!$F$3:$F$282=DummyStandings!$C9)*(Results!$E$3:$E$282&lt;Results!$D$3:$D$282))</f>
        <v>2</v>
      </c>
      <c r="BB9" s="34">
        <f>SUMIF(Results!$F$3:$F$282,$C9,Results!$E$3:$E$282)</f>
        <v>134</v>
      </c>
      <c r="BC9" s="34">
        <f>SUMIF(Results!$F$3:$F$282,$C9,Results!$D$3:$D$282)</f>
        <v>92</v>
      </c>
      <c r="BD9" s="35">
        <f t="shared" si="30"/>
        <v>42</v>
      </c>
      <c r="BE9" s="34">
        <f>INDEX(Teams!$B$5:$H$45,MATCH(DummyStandings!E9,Teams!$G$5:$G$45,0),7)</f>
        <v>15</v>
      </c>
      <c r="BF9" s="272">
        <f t="shared" si="40"/>
        <v>0.7999999999999999</v>
      </c>
      <c r="BG9" s="275">
        <f t="shared" si="31"/>
        <v>0.34857142857142853</v>
      </c>
      <c r="BH9" s="275">
        <f t="shared" si="41"/>
        <v>0.6495238095238095</v>
      </c>
      <c r="BI9" s="34">
        <v>1</v>
      </c>
      <c r="BJ9" s="132">
        <f t="shared" si="32"/>
        <v>6</v>
      </c>
      <c r="BK9" s="35">
        <f t="shared" si="33"/>
        <v>0</v>
      </c>
      <c r="BL9" s="35">
        <f t="shared" si="34"/>
        <v>0</v>
      </c>
      <c r="BM9" s="35">
        <f t="shared" si="35"/>
        <v>0</v>
      </c>
      <c r="BN9" s="35">
        <f t="shared" si="36"/>
        <v>0</v>
      </c>
      <c r="BO9" s="35">
        <f t="shared" si="37"/>
        <v>0</v>
      </c>
      <c r="BP9" s="137">
        <f t="shared" si="38"/>
        <v>0</v>
      </c>
      <c r="BQ9" s="137">
        <f t="shared" si="14"/>
        <v>7</v>
      </c>
      <c r="BR9" s="137">
        <f t="shared" si="15"/>
        <v>0</v>
      </c>
      <c r="BS9" s="132">
        <f t="shared" si="16"/>
        <v>3</v>
      </c>
      <c r="BT9" s="35">
        <f t="shared" si="39"/>
        <v>7</v>
      </c>
    </row>
    <row r="10" spans="2:72" ht="12.75">
      <c r="B10" s="132">
        <f t="shared" si="17"/>
        <v>15</v>
      </c>
      <c r="C10" s="211" t="str">
        <f>Teams!B11</f>
        <v>Tim City University</v>
      </c>
      <c r="D10" s="137" t="str">
        <f>INDEX(Teams!$B$5:$F$45,MATCH(DummyStandings!$C10,Teams!$B$5:$B$45,0),COLUMN()+1)</f>
        <v>Big Eight</v>
      </c>
      <c r="E10" s="165" t="str">
        <f>INDEX(Teams!$B$5:$H$45,MATCH(DummyStandings!$C10,Teams!$B$5:$B$45,0),6)</f>
        <v>TIMC</v>
      </c>
      <c r="F10" s="137">
        <f t="shared" si="0"/>
        <v>0</v>
      </c>
      <c r="G10" s="34">
        <f>IF(G$4=$E10,0,IF(AND(INDEX(Results!$B$2:$AB$282,MATCH(DummyStandings!G$4&amp;DummyStandings!$E10,Results!$K$2:$K$282,0),11)=DummyStandings!$E10,INDEX(Results!$B$2:$AB$282,MATCH(DummyStandings!$E10&amp;DummyStandings!G$4,Results!$K$2:$K$282,0),11)=DummyStandings!$E10),2,IF(INDEX(Results!$B$2:$AB$282,MATCH(DummyStandings!G$4&amp;DummyStandings!$E10,Results!$K$2:$K$282,0),11)=DummyStandings!$E10,1,IF(INDEX(Results!$B$2:$AB$282,MATCH(DummyStandings!$E10&amp;DummyStandings!G$4,Results!$K$2:$K$282,0),11)=DummyStandings!$E10,1,0))))</f>
        <v>2</v>
      </c>
      <c r="H10" s="35">
        <f>IF(H$4=$E10,0,INDEX(Results!$B$2:$O$282,MATCH(DummyStandings!$E10&amp;DummyStandings!H$4,Results!$K$2:$K$282,0),3)-INDEX(Results!$B$2:$O$282,MATCH(DummyStandings!$E10&amp;DummyStandings!H$4,Results!$K$2:$K$282,0),4))</f>
        <v>14</v>
      </c>
      <c r="I10" s="137">
        <f t="shared" si="1"/>
        <v>0</v>
      </c>
      <c r="J10" s="34">
        <f>IF(J$4=$E10,0,IF(AND(INDEX(Results!$B$2:$AB$282,MATCH(DummyStandings!J$4&amp;DummyStandings!$E10,Results!$K$2:$K$282,0),11)=DummyStandings!$E10,INDEX(Results!$B$2:$AB$282,MATCH(DummyStandings!$E10&amp;DummyStandings!J$4,Results!$K$2:$K$282,0),11)=DummyStandings!$E10),2,IF(INDEX(Results!$B$2:$AB$282,MATCH(DummyStandings!J$4&amp;DummyStandings!$E10,Results!$K$2:$K$282,0),11)=DummyStandings!$E10,1,IF(INDEX(Results!$B$2:$AB$282,MATCH(DummyStandings!$E10&amp;DummyStandings!J$4,Results!$K$2:$K$282,0),11)=DummyStandings!$E10,1,0))))</f>
        <v>0</v>
      </c>
      <c r="K10" s="35">
        <f>IF(K$4=$E10,0,INDEX(Results!$B$2:$O$282,MATCH(DummyStandings!$E10&amp;DummyStandings!K$4,Results!$K$2:$K$282,0),3)-INDEX(Results!$B$2:$O$282,MATCH(DummyStandings!$E10&amp;DummyStandings!K$4,Results!$K$2:$K$282,0),4))</f>
        <v>-17</v>
      </c>
      <c r="L10" s="137">
        <f t="shared" si="2"/>
        <v>0</v>
      </c>
      <c r="M10" s="34">
        <f>IF(M$4=$E10,0,IF(AND(INDEX(Results!$B$2:$AB$282,MATCH(DummyStandings!M$4&amp;DummyStandings!$E10,Results!$K$2:$K$282,0),11)=DummyStandings!$E10,INDEX(Results!$B$2:$AB$282,MATCH(DummyStandings!$E10&amp;DummyStandings!M$4,Results!$K$2:$K$282,0),11)=DummyStandings!$E10),2,IF(INDEX(Results!$B$2:$AB$282,MATCH(DummyStandings!M$4&amp;DummyStandings!$E10,Results!$K$2:$K$282,0),11)=DummyStandings!$E10,1,IF(INDEX(Results!$B$2:$AB$282,MATCH(DummyStandings!$E10&amp;DummyStandings!M$4,Results!$K$2:$K$282,0),11)=DummyStandings!$E10,1,0))))</f>
        <v>2</v>
      </c>
      <c r="N10" s="35">
        <f>IF(N$4=$E10,0,INDEX(Results!$B$2:$O$282,MATCH(DummyStandings!$E10&amp;DummyStandings!N$4,Results!$K$2:$K$282,0),3)-INDEX(Results!$B$2:$O$282,MATCH(DummyStandings!$E10&amp;DummyStandings!N$4,Results!$K$2:$K$282,0),4))</f>
        <v>40</v>
      </c>
      <c r="O10" s="137">
        <f t="shared" si="3"/>
        <v>0</v>
      </c>
      <c r="P10" s="34">
        <f>IF(P$4=$E10,0,IF(AND(INDEX(Results!$B$2:$AB$282,MATCH(DummyStandings!P$4&amp;DummyStandings!$E10,Results!$K$2:$K$282,0),11)=DummyStandings!$E10,INDEX(Results!$B$2:$AB$282,MATCH(DummyStandings!$E10&amp;DummyStandings!P$4,Results!$K$2:$K$282,0),11)=DummyStandings!$E10),2,IF(INDEX(Results!$B$2:$AB$282,MATCH(DummyStandings!P$4&amp;DummyStandings!$E10,Results!$K$2:$K$282,0),11)=DummyStandings!$E10,1,IF(INDEX(Results!$B$2:$AB$282,MATCH(DummyStandings!$E10&amp;DummyStandings!P$4,Results!$K$2:$K$282,0),11)=DummyStandings!$E10,1,0))))</f>
        <v>1</v>
      </c>
      <c r="Q10" s="35">
        <f>IF(Q$4=$E10,0,INDEX(Results!$B$2:$O$282,MATCH(DummyStandings!$E10&amp;DummyStandings!Q$4,Results!$K$2:$K$282,0),3)-INDEX(Results!$B$2:$O$282,MATCH(DummyStandings!$E10&amp;DummyStandings!Q$4,Results!$K$2:$K$282,0),4))</f>
        <v>23</v>
      </c>
      <c r="R10" s="137">
        <f t="shared" si="4"/>
        <v>0</v>
      </c>
      <c r="S10" s="34">
        <f>IF(S$4=$E10,0,IF(AND(INDEX(Results!$B$2:$AB$282,MATCH(DummyStandings!S$4&amp;DummyStandings!$E10,Results!$K$2:$K$282,0),11)=DummyStandings!$E10,INDEX(Results!$B$2:$AB$282,MATCH(DummyStandings!$E10&amp;DummyStandings!S$4,Results!$K$2:$K$282,0),11)=DummyStandings!$E10),2,IF(INDEX(Results!$B$2:$AB$282,MATCH(DummyStandings!S$4&amp;DummyStandings!$E10,Results!$K$2:$K$282,0),11)=DummyStandings!$E10,1,IF(INDEX(Results!$B$2:$AB$282,MATCH(DummyStandings!$E10&amp;DummyStandings!S$4,Results!$K$2:$K$282,0),11)=DummyStandings!$E10,1,0))))</f>
        <v>0</v>
      </c>
      <c r="T10" s="35">
        <f>IF(T$4=$E10,0,INDEX(Results!$B$2:$O$282,MATCH(DummyStandings!$E10&amp;DummyStandings!T$4,Results!$K$2:$K$282,0),3)-INDEX(Results!$B$2:$O$282,MATCH(DummyStandings!$E10&amp;DummyStandings!T$4,Results!$K$2:$K$282,0),4))</f>
        <v>-31</v>
      </c>
      <c r="U10" s="137">
        <f t="shared" si="5"/>
        <v>0</v>
      </c>
      <c r="V10" s="34">
        <f>IF(V$4=$E10,0,IF(AND(INDEX(Results!$B$2:$AB$282,MATCH(DummyStandings!V$4&amp;DummyStandings!$E10,Results!$K$2:$K$282,0),11)=DummyStandings!$E10,INDEX(Results!$B$2:$AB$282,MATCH(DummyStandings!$E10&amp;DummyStandings!V$4,Results!$K$2:$K$282,0),11)=DummyStandings!$E10),2,IF(INDEX(Results!$B$2:$AB$282,MATCH(DummyStandings!V$4&amp;DummyStandings!$E10,Results!$K$2:$K$282,0),11)=DummyStandings!$E10,1,IF(INDEX(Results!$B$2:$AB$282,MATCH(DummyStandings!$E10&amp;DummyStandings!V$4,Results!$K$2:$K$282,0),11)=DummyStandings!$E10,1,0))))</f>
        <v>0</v>
      </c>
      <c r="W10" s="35">
        <f>IF(W$4=$E10,0,INDEX(Results!$B$2:$O$282,MATCH(DummyStandings!$E10&amp;DummyStandings!W$4,Results!$K$2:$K$282,0),3)-INDEX(Results!$B$2:$O$282,MATCH(DummyStandings!$E10&amp;DummyStandings!W$4,Results!$K$2:$K$282,0),4))</f>
        <v>0</v>
      </c>
      <c r="X10" s="137">
        <f t="shared" si="6"/>
        <v>0</v>
      </c>
      <c r="Y10" s="34">
        <f>IF(Y$4=$E10,0,IF(AND(INDEX(Results!$B$2:$AB$282,MATCH(DummyStandings!Y$4&amp;DummyStandings!$E10,Results!$K$2:$K$282,0),11)=DummyStandings!$E10,INDEX(Results!$B$2:$AB$282,MATCH(DummyStandings!$E10&amp;DummyStandings!Y$4,Results!$K$2:$K$282,0),11)=DummyStandings!$E10),2,IF(INDEX(Results!$B$2:$AB$282,MATCH(DummyStandings!Y$4&amp;DummyStandings!$E10,Results!$K$2:$K$282,0),11)=DummyStandings!$E10,1,IF(INDEX(Results!$B$2:$AB$282,MATCH(DummyStandings!$E10&amp;DummyStandings!Y$4,Results!$K$2:$K$282,0),11)=DummyStandings!$E10,1,0))))</f>
        <v>1</v>
      </c>
      <c r="Z10" s="35">
        <f>IF(Z$4=$E10,0,INDEX(Results!$B$2:$O$282,MATCH(DummyStandings!$E10&amp;DummyStandings!Z$4,Results!$K$2:$K$282,0),3)-INDEX(Results!$B$2:$O$282,MATCH(DummyStandings!$E10&amp;DummyStandings!Z$4,Results!$K$2:$K$282,0),4))</f>
        <v>1</v>
      </c>
      <c r="AA10" s="137">
        <f t="shared" si="7"/>
        <v>0</v>
      </c>
      <c r="AB10" s="34">
        <f>IF(AB$4=$E10,0,IF(AND(INDEX(Results!$B$2:$AB$282,MATCH(DummyStandings!AB$4&amp;DummyStandings!$E10,Results!$K$2:$K$282,0),11)=DummyStandings!$E10,INDEX(Results!$B$2:$AB$282,MATCH(DummyStandings!$E10&amp;DummyStandings!AB$4,Results!$K$2:$K$282,0),11)=DummyStandings!$E10),2,IF(INDEX(Results!$B$2:$AB$282,MATCH(DummyStandings!AB$4&amp;DummyStandings!$E10,Results!$K$2:$K$282,0),11)=DummyStandings!$E10,1,IF(INDEX(Results!$B$2:$AB$282,MATCH(DummyStandings!$E10&amp;DummyStandings!AB$4,Results!$K$2:$K$282,0),11)=DummyStandings!$E10,1,0))))</f>
        <v>2</v>
      </c>
      <c r="AC10" s="35">
        <f>IF(AC$4=$E10,0,INDEX(Results!$B$2:$O$282,MATCH(DummyStandings!$E10&amp;DummyStandings!AC$4,Results!$K$2:$K$282,0),3)-INDEX(Results!$B$2:$O$282,MATCH(DummyStandings!$E10&amp;DummyStandings!AC$4,Results!$K$2:$K$282,0),4))</f>
        <v>13</v>
      </c>
      <c r="AD10" s="132">
        <f t="shared" si="18"/>
        <v>0</v>
      </c>
      <c r="AE10" s="137">
        <f t="shared" si="18"/>
        <v>0</v>
      </c>
      <c r="AF10" s="137">
        <f t="shared" si="8"/>
        <v>15</v>
      </c>
      <c r="AG10" s="132">
        <f t="shared" si="19"/>
        <v>0</v>
      </c>
      <c r="AH10" s="34">
        <f t="shared" si="9"/>
        <v>0</v>
      </c>
      <c r="AI10" s="137">
        <f t="shared" si="10"/>
        <v>0</v>
      </c>
      <c r="AJ10" s="137">
        <f t="shared" si="11"/>
        <v>0</v>
      </c>
      <c r="AK10" s="137">
        <f t="shared" si="12"/>
        <v>0</v>
      </c>
      <c r="AL10" s="132">
        <f t="shared" si="20"/>
        <v>0</v>
      </c>
      <c r="AM10" s="34">
        <f t="shared" si="21"/>
        <v>14</v>
      </c>
      <c r="AN10" s="34">
        <f t="shared" si="22"/>
        <v>8</v>
      </c>
      <c r="AO10" s="34">
        <f t="shared" si="23"/>
        <v>6</v>
      </c>
      <c r="AP10" s="34">
        <f t="shared" si="24"/>
        <v>254</v>
      </c>
      <c r="AQ10" s="34">
        <f t="shared" si="25"/>
        <v>241</v>
      </c>
      <c r="AR10" s="34">
        <f t="shared" si="26"/>
        <v>13</v>
      </c>
      <c r="AS10" s="137">
        <f t="shared" si="27"/>
        <v>7</v>
      </c>
      <c r="AT10" s="34">
        <f>SUMPRODUCT((Results!$C$3:$C$282=DummyStandings!$C10)*(Results!$D$3:$D$282&gt;Results!$E$3:$E$282))</f>
        <v>5</v>
      </c>
      <c r="AU10" s="34">
        <f>SUMPRODUCT((Results!$C$3:$C$282=DummyStandings!$C10)*(Results!$D$3:$D$282&lt;Results!$E$3:$E$282))</f>
        <v>2</v>
      </c>
      <c r="AV10" s="34">
        <f>SUMIF(Results!$C$3:$C$282,$C10,Results!$D$3:$D$282)</f>
        <v>158</v>
      </c>
      <c r="AW10" s="34">
        <f>SUMIF(Results!$C$3:$C$282,$C10,Results!$E$3:$E$282)</f>
        <v>115</v>
      </c>
      <c r="AX10" s="34">
        <f t="shared" si="28"/>
        <v>43</v>
      </c>
      <c r="AY10" s="137">
        <f t="shared" si="29"/>
        <v>7</v>
      </c>
      <c r="AZ10" s="34">
        <f>SUMPRODUCT((Results!$F$3:$F$282=DummyStandings!$C10)*(Results!$E$3:$E$282&gt;Results!$D$3:$D$282))</f>
        <v>3</v>
      </c>
      <c r="BA10" s="34">
        <f>SUMPRODUCT((Results!$F$3:$F$282=DummyStandings!$C10)*(Results!$E$3:$E$282&lt;Results!$D$3:$D$282))</f>
        <v>4</v>
      </c>
      <c r="BB10" s="34">
        <f>SUMIF(Results!$F$3:$F$282,$C10,Results!$E$3:$E$282)</f>
        <v>96</v>
      </c>
      <c r="BC10" s="34">
        <f>SUMIF(Results!$F$3:$F$282,$C10,Results!$D$3:$D$282)</f>
        <v>126</v>
      </c>
      <c r="BD10" s="35">
        <f t="shared" si="30"/>
        <v>-30</v>
      </c>
      <c r="BE10" s="34">
        <f>INDEX(Teams!$B$5:$H$45,MATCH(DummyStandings!E10,Teams!$G$5:$G$45,0),7)</f>
        <v>30</v>
      </c>
      <c r="BF10" s="272">
        <f t="shared" si="40"/>
        <v>0.5142857142857142</v>
      </c>
      <c r="BG10" s="275">
        <f t="shared" si="31"/>
        <v>0.3771428571428571</v>
      </c>
      <c r="BH10" s="275">
        <f t="shared" si="41"/>
        <v>0.4685714285714286</v>
      </c>
      <c r="BI10" s="34">
        <v>1</v>
      </c>
      <c r="BJ10" s="132">
        <f t="shared" si="32"/>
        <v>15</v>
      </c>
      <c r="BK10" s="35">
        <f t="shared" si="33"/>
        <v>0</v>
      </c>
      <c r="BL10" s="35">
        <f t="shared" si="34"/>
        <v>0</v>
      </c>
      <c r="BM10" s="35">
        <f t="shared" si="35"/>
        <v>0</v>
      </c>
      <c r="BN10" s="35">
        <f t="shared" si="36"/>
        <v>0</v>
      </c>
      <c r="BO10" s="35">
        <f t="shared" si="37"/>
        <v>0</v>
      </c>
      <c r="BP10" s="137">
        <f t="shared" si="38"/>
        <v>0</v>
      </c>
      <c r="BQ10" s="137">
        <f t="shared" si="14"/>
        <v>16</v>
      </c>
      <c r="BR10" s="137">
        <f t="shared" si="15"/>
        <v>-1</v>
      </c>
      <c r="BS10" s="132">
        <f t="shared" si="16"/>
        <v>0</v>
      </c>
      <c r="BT10" s="35">
        <f t="shared" si="39"/>
        <v>15</v>
      </c>
    </row>
    <row r="11" spans="2:72" ht="12.75">
      <c r="B11" s="132">
        <f t="shared" si="17"/>
        <v>36</v>
      </c>
      <c r="C11" s="211" t="str">
        <f>Teams!B12</f>
        <v>University of Nobelius</v>
      </c>
      <c r="D11" s="137" t="str">
        <f>INDEX(Teams!$B$5:$F$45,MATCH(DummyStandings!$C11,Teams!$B$5:$B$45,0),COLUMN()+1)</f>
        <v>Big Eight</v>
      </c>
      <c r="E11" s="165" t="str">
        <f>INDEX(Teams!$B$5:$H$45,MATCH(DummyStandings!$C11,Teams!$B$5:$B$45,0),6)</f>
        <v>NOBL</v>
      </c>
      <c r="F11" s="137">
        <f t="shared" si="0"/>
        <v>0</v>
      </c>
      <c r="G11" s="34">
        <f>IF(G$4=$E11,0,IF(AND(INDEX(Results!$B$2:$AB$282,MATCH(DummyStandings!G$4&amp;DummyStandings!$E11,Results!$K$2:$K$282,0),11)=DummyStandings!$E11,INDEX(Results!$B$2:$AB$282,MATCH(DummyStandings!$E11&amp;DummyStandings!G$4,Results!$K$2:$K$282,0),11)=DummyStandings!$E11),2,IF(INDEX(Results!$B$2:$AB$282,MATCH(DummyStandings!G$4&amp;DummyStandings!$E11,Results!$K$2:$K$282,0),11)=DummyStandings!$E11,1,IF(INDEX(Results!$B$2:$AB$282,MATCH(DummyStandings!$E11&amp;DummyStandings!G$4,Results!$K$2:$K$282,0),11)=DummyStandings!$E11,1,0))))</f>
        <v>1</v>
      </c>
      <c r="H11" s="35">
        <f>IF(H$4=$E11,0,INDEX(Results!$B$2:$O$282,MATCH(DummyStandings!$E11&amp;DummyStandings!H$4,Results!$K$2:$K$282,0),3)-INDEX(Results!$B$2:$O$282,MATCH(DummyStandings!$E11&amp;DummyStandings!H$4,Results!$K$2:$K$282,0),4))</f>
        <v>-34</v>
      </c>
      <c r="I11" s="137">
        <f t="shared" si="1"/>
        <v>0</v>
      </c>
      <c r="J11" s="34">
        <f>IF(J$4=$E11,0,IF(AND(INDEX(Results!$B$2:$AB$282,MATCH(DummyStandings!J$4&amp;DummyStandings!$E11,Results!$K$2:$K$282,0),11)=DummyStandings!$E11,INDEX(Results!$B$2:$AB$282,MATCH(DummyStandings!$E11&amp;DummyStandings!J$4,Results!$K$2:$K$282,0),11)=DummyStandings!$E11),2,IF(INDEX(Results!$B$2:$AB$282,MATCH(DummyStandings!J$4&amp;DummyStandings!$E11,Results!$K$2:$K$282,0),11)=DummyStandings!$E11,1,IF(INDEX(Results!$B$2:$AB$282,MATCH(DummyStandings!$E11&amp;DummyStandings!J$4,Results!$K$2:$K$282,0),11)=DummyStandings!$E11,1,0))))</f>
        <v>0</v>
      </c>
      <c r="K11" s="35">
        <f>IF(K$4=$E11,0,INDEX(Results!$B$2:$O$282,MATCH(DummyStandings!$E11&amp;DummyStandings!K$4,Results!$K$2:$K$282,0),3)-INDEX(Results!$B$2:$O$282,MATCH(DummyStandings!$E11&amp;DummyStandings!K$4,Results!$K$2:$K$282,0),4))</f>
        <v>-27</v>
      </c>
      <c r="L11" s="137">
        <f t="shared" si="2"/>
        <v>0</v>
      </c>
      <c r="M11" s="34">
        <f>IF(M$4=$E11,0,IF(AND(INDEX(Results!$B$2:$AB$282,MATCH(DummyStandings!M$4&amp;DummyStandings!$E11,Results!$K$2:$K$282,0),11)=DummyStandings!$E11,INDEX(Results!$B$2:$AB$282,MATCH(DummyStandings!$E11&amp;DummyStandings!M$4,Results!$K$2:$K$282,0),11)=DummyStandings!$E11),2,IF(INDEX(Results!$B$2:$AB$282,MATCH(DummyStandings!M$4&amp;DummyStandings!$E11,Results!$K$2:$K$282,0),11)=DummyStandings!$E11,1,IF(INDEX(Results!$B$2:$AB$282,MATCH(DummyStandings!$E11&amp;DummyStandings!M$4,Results!$K$2:$K$282,0),11)=DummyStandings!$E11,1,0))))</f>
        <v>1</v>
      </c>
      <c r="N11" s="35">
        <f>IF(N$4=$E11,0,INDEX(Results!$B$2:$O$282,MATCH(DummyStandings!$E11&amp;DummyStandings!N$4,Results!$K$2:$K$282,0),3)-INDEX(Results!$B$2:$O$282,MATCH(DummyStandings!$E11&amp;DummyStandings!N$4,Results!$K$2:$K$282,0),4))</f>
        <v>6</v>
      </c>
      <c r="O11" s="137">
        <f t="shared" si="3"/>
        <v>0</v>
      </c>
      <c r="P11" s="34">
        <f>IF(P$4=$E11,0,IF(AND(INDEX(Results!$B$2:$AB$282,MATCH(DummyStandings!P$4&amp;DummyStandings!$E11,Results!$K$2:$K$282,0),11)=DummyStandings!$E11,INDEX(Results!$B$2:$AB$282,MATCH(DummyStandings!$E11&amp;DummyStandings!P$4,Results!$K$2:$K$282,0),11)=DummyStandings!$E11),2,IF(INDEX(Results!$B$2:$AB$282,MATCH(DummyStandings!P$4&amp;DummyStandings!$E11,Results!$K$2:$K$282,0),11)=DummyStandings!$E11,1,IF(INDEX(Results!$B$2:$AB$282,MATCH(DummyStandings!$E11&amp;DummyStandings!P$4,Results!$K$2:$K$282,0),11)=DummyStandings!$E11,1,0))))</f>
        <v>0</v>
      </c>
      <c r="Q11" s="35">
        <f>IF(Q$4=$E11,0,INDEX(Results!$B$2:$O$282,MATCH(DummyStandings!$E11&amp;DummyStandings!Q$4,Results!$K$2:$K$282,0),3)-INDEX(Results!$B$2:$O$282,MATCH(DummyStandings!$E11&amp;DummyStandings!Q$4,Results!$K$2:$K$282,0),4))</f>
        <v>-13</v>
      </c>
      <c r="R11" s="137">
        <f t="shared" si="4"/>
        <v>0</v>
      </c>
      <c r="S11" s="34">
        <f>IF(S$4=$E11,0,IF(AND(INDEX(Results!$B$2:$AB$282,MATCH(DummyStandings!S$4&amp;DummyStandings!$E11,Results!$K$2:$K$282,0),11)=DummyStandings!$E11,INDEX(Results!$B$2:$AB$282,MATCH(DummyStandings!$E11&amp;DummyStandings!S$4,Results!$K$2:$K$282,0),11)=DummyStandings!$E11),2,IF(INDEX(Results!$B$2:$AB$282,MATCH(DummyStandings!S$4&amp;DummyStandings!$E11,Results!$K$2:$K$282,0),11)=DummyStandings!$E11,1,IF(INDEX(Results!$B$2:$AB$282,MATCH(DummyStandings!$E11&amp;DummyStandings!S$4,Results!$K$2:$K$282,0),11)=DummyStandings!$E11,1,0))))</f>
        <v>0</v>
      </c>
      <c r="T11" s="35">
        <f>IF(T$4=$E11,0,INDEX(Results!$B$2:$O$282,MATCH(DummyStandings!$E11&amp;DummyStandings!T$4,Results!$K$2:$K$282,0),3)-INDEX(Results!$B$2:$O$282,MATCH(DummyStandings!$E11&amp;DummyStandings!T$4,Results!$K$2:$K$282,0),4))</f>
        <v>-2</v>
      </c>
      <c r="U11" s="137">
        <f t="shared" si="5"/>
        <v>0</v>
      </c>
      <c r="V11" s="34">
        <f>IF(V$4=$E11,0,IF(AND(INDEX(Results!$B$2:$AB$282,MATCH(DummyStandings!V$4&amp;DummyStandings!$E11,Results!$K$2:$K$282,0),11)=DummyStandings!$E11,INDEX(Results!$B$2:$AB$282,MATCH(DummyStandings!$E11&amp;DummyStandings!V$4,Results!$K$2:$K$282,0),11)=DummyStandings!$E11),2,IF(INDEX(Results!$B$2:$AB$282,MATCH(DummyStandings!V$4&amp;DummyStandings!$E11,Results!$K$2:$K$282,0),11)=DummyStandings!$E11,1,IF(INDEX(Results!$B$2:$AB$282,MATCH(DummyStandings!$E11&amp;DummyStandings!V$4,Results!$K$2:$K$282,0),11)=DummyStandings!$E11,1,0))))</f>
        <v>1</v>
      </c>
      <c r="W11" s="35">
        <f>IF(W$4=$E11,0,INDEX(Results!$B$2:$O$282,MATCH(DummyStandings!$E11&amp;DummyStandings!W$4,Results!$K$2:$K$282,0),3)-INDEX(Results!$B$2:$O$282,MATCH(DummyStandings!$E11&amp;DummyStandings!W$4,Results!$K$2:$K$282,0),4))</f>
        <v>7</v>
      </c>
      <c r="X11" s="137">
        <f t="shared" si="6"/>
        <v>0</v>
      </c>
      <c r="Y11" s="34">
        <f>IF(Y$4=$E11,0,IF(AND(INDEX(Results!$B$2:$AB$282,MATCH(DummyStandings!Y$4&amp;DummyStandings!$E11,Results!$K$2:$K$282,0),11)=DummyStandings!$E11,INDEX(Results!$B$2:$AB$282,MATCH(DummyStandings!$E11&amp;DummyStandings!Y$4,Results!$K$2:$K$282,0),11)=DummyStandings!$E11),2,IF(INDEX(Results!$B$2:$AB$282,MATCH(DummyStandings!Y$4&amp;DummyStandings!$E11,Results!$K$2:$K$282,0),11)=DummyStandings!$E11,1,IF(INDEX(Results!$B$2:$AB$282,MATCH(DummyStandings!$E11&amp;DummyStandings!Y$4,Results!$K$2:$K$282,0),11)=DummyStandings!$E11,1,0))))</f>
        <v>0</v>
      </c>
      <c r="Z11" s="35">
        <f>IF(Z$4=$E11,0,INDEX(Results!$B$2:$O$282,MATCH(DummyStandings!$E11&amp;DummyStandings!Z$4,Results!$K$2:$K$282,0),3)-INDEX(Results!$B$2:$O$282,MATCH(DummyStandings!$E11&amp;DummyStandings!Z$4,Results!$K$2:$K$282,0),4))</f>
        <v>0</v>
      </c>
      <c r="AA11" s="137">
        <f t="shared" si="7"/>
        <v>0</v>
      </c>
      <c r="AB11" s="34">
        <f>IF(AB$4=$E11,0,IF(AND(INDEX(Results!$B$2:$AB$282,MATCH(DummyStandings!AB$4&amp;DummyStandings!$E11,Results!$K$2:$K$282,0),11)=DummyStandings!$E11,INDEX(Results!$B$2:$AB$282,MATCH(DummyStandings!$E11&amp;DummyStandings!AB$4,Results!$K$2:$K$282,0),11)=DummyStandings!$E11),2,IF(INDEX(Results!$B$2:$AB$282,MATCH(DummyStandings!AB$4&amp;DummyStandings!$E11,Results!$K$2:$K$282,0),11)=DummyStandings!$E11,1,IF(INDEX(Results!$B$2:$AB$282,MATCH(DummyStandings!$E11&amp;DummyStandings!AB$4,Results!$K$2:$K$282,0),11)=DummyStandings!$E11,1,0))))</f>
        <v>0</v>
      </c>
      <c r="AC11" s="35">
        <f>IF(AC$4=$E11,0,INDEX(Results!$B$2:$O$282,MATCH(DummyStandings!$E11&amp;DummyStandings!AC$4,Results!$K$2:$K$282,0),3)-INDEX(Results!$B$2:$O$282,MATCH(DummyStandings!$E11&amp;DummyStandings!AC$4,Results!$K$2:$K$282,0),4))</f>
        <v>-23</v>
      </c>
      <c r="AD11" s="132">
        <f t="shared" si="18"/>
        <v>0</v>
      </c>
      <c r="AE11" s="137">
        <f t="shared" si="18"/>
        <v>0</v>
      </c>
      <c r="AF11" s="137">
        <f t="shared" si="8"/>
        <v>32</v>
      </c>
      <c r="AG11" s="132">
        <f t="shared" si="19"/>
        <v>1</v>
      </c>
      <c r="AH11" s="34">
        <f t="shared" si="9"/>
        <v>0</v>
      </c>
      <c r="AI11" s="137">
        <f t="shared" si="10"/>
        <v>3</v>
      </c>
      <c r="AJ11" s="137">
        <f t="shared" si="11"/>
        <v>0</v>
      </c>
      <c r="AK11" s="137">
        <f t="shared" si="12"/>
        <v>0</v>
      </c>
      <c r="AL11" s="132">
        <f t="shared" si="20"/>
        <v>0</v>
      </c>
      <c r="AM11" s="34">
        <f t="shared" si="21"/>
        <v>14</v>
      </c>
      <c r="AN11" s="34">
        <f t="shared" si="22"/>
        <v>3</v>
      </c>
      <c r="AO11" s="34">
        <f t="shared" si="23"/>
        <v>11</v>
      </c>
      <c r="AP11" s="34">
        <f t="shared" si="24"/>
        <v>141</v>
      </c>
      <c r="AQ11" s="34">
        <f t="shared" si="25"/>
        <v>311</v>
      </c>
      <c r="AR11" s="34">
        <f t="shared" si="26"/>
        <v>-170</v>
      </c>
      <c r="AS11" s="137">
        <f t="shared" si="27"/>
        <v>7</v>
      </c>
      <c r="AT11" s="34">
        <f>SUMPRODUCT((Results!$C$3:$C$282=DummyStandings!$C11)*(Results!$D$3:$D$282&gt;Results!$E$3:$E$282))</f>
        <v>2</v>
      </c>
      <c r="AU11" s="34">
        <f>SUMPRODUCT((Results!$C$3:$C$282=DummyStandings!$C11)*(Results!$D$3:$D$282&lt;Results!$E$3:$E$282))</f>
        <v>5</v>
      </c>
      <c r="AV11" s="34">
        <f>SUMIF(Results!$C$3:$C$282,$C11,Results!$D$3:$D$282)</f>
        <v>79</v>
      </c>
      <c r="AW11" s="34">
        <f>SUMIF(Results!$C$3:$C$282,$C11,Results!$E$3:$E$282)</f>
        <v>165</v>
      </c>
      <c r="AX11" s="34">
        <f t="shared" si="28"/>
        <v>-86</v>
      </c>
      <c r="AY11" s="137">
        <f t="shared" si="29"/>
        <v>7</v>
      </c>
      <c r="AZ11" s="34">
        <f>SUMPRODUCT((Results!$F$3:$F$282=DummyStandings!$C11)*(Results!$E$3:$E$282&gt;Results!$D$3:$D$282))</f>
        <v>1</v>
      </c>
      <c r="BA11" s="34">
        <f>SUMPRODUCT((Results!$F$3:$F$282=DummyStandings!$C11)*(Results!$E$3:$E$282&lt;Results!$D$3:$D$282))</f>
        <v>6</v>
      </c>
      <c r="BB11" s="34">
        <f>SUMIF(Results!$F$3:$F$282,$C11,Results!$E$3:$E$282)</f>
        <v>62</v>
      </c>
      <c r="BC11" s="34">
        <f>SUMIF(Results!$F$3:$F$282,$C11,Results!$D$3:$D$282)</f>
        <v>146</v>
      </c>
      <c r="BD11" s="35">
        <f t="shared" si="30"/>
        <v>-84</v>
      </c>
      <c r="BE11" s="34">
        <f>INDEX(Teams!$B$5:$H$45,MATCH(DummyStandings!E11,Teams!$G$5:$G$45,0),7)</f>
        <v>33</v>
      </c>
      <c r="BF11" s="272">
        <f t="shared" si="40"/>
        <v>0.1857142857142857</v>
      </c>
      <c r="BG11" s="275">
        <f t="shared" si="31"/>
        <v>0.41</v>
      </c>
      <c r="BH11" s="275">
        <f t="shared" si="41"/>
        <v>0.2604761904761905</v>
      </c>
      <c r="BI11" s="34">
        <v>1</v>
      </c>
      <c r="BJ11" s="132">
        <f t="shared" si="32"/>
        <v>34</v>
      </c>
      <c r="BK11" s="35">
        <f t="shared" si="33"/>
        <v>0</v>
      </c>
      <c r="BL11" s="35">
        <f t="shared" si="34"/>
        <v>0</v>
      </c>
      <c r="BM11" s="35">
        <f t="shared" si="35"/>
        <v>0</v>
      </c>
      <c r="BN11" s="35">
        <f t="shared" si="36"/>
        <v>0</v>
      </c>
      <c r="BO11" s="35">
        <f t="shared" si="37"/>
        <v>0</v>
      </c>
      <c r="BP11" s="137">
        <f t="shared" si="38"/>
        <v>0</v>
      </c>
      <c r="BQ11" s="137">
        <f t="shared" si="14"/>
        <v>35</v>
      </c>
      <c r="BR11" s="137">
        <f t="shared" si="15"/>
        <v>1</v>
      </c>
      <c r="BS11" s="132">
        <f t="shared" si="16"/>
        <v>4</v>
      </c>
      <c r="BT11" s="35">
        <f t="shared" si="39"/>
        <v>36</v>
      </c>
    </row>
    <row r="12" spans="2:72" ht="13.5" thickBot="1">
      <c r="B12" s="132">
        <f t="shared" si="17"/>
        <v>29</v>
      </c>
      <c r="C12" s="212" t="str">
        <f>Teams!B13</f>
        <v>Wijlik Aviation Academy</v>
      </c>
      <c r="D12" s="36" t="str">
        <f>INDEX(Teams!$B$5:$F$45,MATCH(DummyStandings!$C12,Teams!$B$5:$B$45,0),COLUMN()+1)</f>
        <v>Big Eight</v>
      </c>
      <c r="E12" s="209" t="str">
        <f>INDEX(Teams!$B$5:$H$45,MATCH(DummyStandings!$C12,Teams!$B$5:$B$45,0),6)</f>
        <v>WAA</v>
      </c>
      <c r="F12" s="36">
        <f t="shared" si="0"/>
        <v>0</v>
      </c>
      <c r="G12" s="37">
        <f>IF(G$4=$E12,0,IF(AND(INDEX(Results!$B$2:$AB$282,MATCH(DummyStandings!G$4&amp;DummyStandings!$E12,Results!$K$2:$K$282,0),11)=DummyStandings!$E12,INDEX(Results!$B$2:$AB$282,MATCH(DummyStandings!$E12&amp;DummyStandings!G$4,Results!$K$2:$K$282,0),11)=DummyStandings!$E12),2,IF(INDEX(Results!$B$2:$AB$282,MATCH(DummyStandings!G$4&amp;DummyStandings!$E12,Results!$K$2:$K$282,0),11)=DummyStandings!$E12,1,IF(INDEX(Results!$B$2:$AB$282,MATCH(DummyStandings!$E12&amp;DummyStandings!G$4,Results!$K$2:$K$282,0),11)=DummyStandings!$E12,1,0))))</f>
        <v>0</v>
      </c>
      <c r="H12" s="44">
        <f>IF(H$4=$E12,0,INDEX(Results!$B$2:$O$282,MATCH(DummyStandings!$E12&amp;DummyStandings!H$4,Results!$K$2:$K$282,0),3)-INDEX(Results!$B$2:$O$282,MATCH(DummyStandings!$E12&amp;DummyStandings!H$4,Results!$K$2:$K$282,0),4))</f>
        <v>-7</v>
      </c>
      <c r="I12" s="36">
        <f t="shared" si="1"/>
        <v>0</v>
      </c>
      <c r="J12" s="37">
        <f>IF(J$4=$E12,0,IF(AND(INDEX(Results!$B$2:$AB$282,MATCH(DummyStandings!J$4&amp;DummyStandings!$E12,Results!$K$2:$K$282,0),11)=DummyStandings!$E12,INDEX(Results!$B$2:$AB$282,MATCH(DummyStandings!$E12&amp;DummyStandings!J$4,Results!$K$2:$K$282,0),11)=DummyStandings!$E12),2,IF(INDEX(Results!$B$2:$AB$282,MATCH(DummyStandings!J$4&amp;DummyStandings!$E12,Results!$K$2:$K$282,0),11)=DummyStandings!$E12,1,IF(INDEX(Results!$B$2:$AB$282,MATCH(DummyStandings!$E12&amp;DummyStandings!J$4,Results!$K$2:$K$282,0),11)=DummyStandings!$E12,1,0))))</f>
        <v>1</v>
      </c>
      <c r="K12" s="44">
        <f>IF(K$4=$E12,0,INDEX(Results!$B$2:$O$282,MATCH(DummyStandings!$E12&amp;DummyStandings!K$4,Results!$K$2:$K$282,0),3)-INDEX(Results!$B$2:$O$282,MATCH(DummyStandings!$E12&amp;DummyStandings!K$4,Results!$K$2:$K$282,0),4))</f>
        <v>7</v>
      </c>
      <c r="L12" s="36">
        <f t="shared" si="2"/>
        <v>0</v>
      </c>
      <c r="M12" s="37">
        <f>IF(M$4=$E12,0,IF(AND(INDEX(Results!$B$2:$AB$282,MATCH(DummyStandings!M$4&amp;DummyStandings!$E12,Results!$K$2:$K$282,0),11)=DummyStandings!$E12,INDEX(Results!$B$2:$AB$282,MATCH(DummyStandings!$E12&amp;DummyStandings!M$4,Results!$K$2:$K$282,0),11)=DummyStandings!$E12),2,IF(INDEX(Results!$B$2:$AB$282,MATCH(DummyStandings!M$4&amp;DummyStandings!$E12,Results!$K$2:$K$282,0),11)=DummyStandings!$E12,1,IF(INDEX(Results!$B$2:$AB$282,MATCH(DummyStandings!$E12&amp;DummyStandings!M$4,Results!$K$2:$K$282,0),11)=DummyStandings!$E12,1,0))))</f>
        <v>2</v>
      </c>
      <c r="N12" s="44">
        <f>IF(N$4=$E12,0,INDEX(Results!$B$2:$O$282,MATCH(DummyStandings!$E12&amp;DummyStandings!N$4,Results!$K$2:$K$282,0),3)-INDEX(Results!$B$2:$O$282,MATCH(DummyStandings!$E12&amp;DummyStandings!N$4,Results!$K$2:$K$282,0),4))</f>
        <v>34</v>
      </c>
      <c r="O12" s="36">
        <f t="shared" si="3"/>
        <v>0</v>
      </c>
      <c r="P12" s="37">
        <f>IF(P$4=$E12,0,IF(AND(INDEX(Results!$B$2:$AB$282,MATCH(DummyStandings!P$4&amp;DummyStandings!$E12,Results!$K$2:$K$282,0),11)=DummyStandings!$E12,INDEX(Results!$B$2:$AB$282,MATCH(DummyStandings!$E12&amp;DummyStandings!P$4,Results!$K$2:$K$282,0),11)=DummyStandings!$E12),2,IF(INDEX(Results!$B$2:$AB$282,MATCH(DummyStandings!P$4&amp;DummyStandings!$E12,Results!$K$2:$K$282,0),11)=DummyStandings!$E12,1,IF(INDEX(Results!$B$2:$AB$282,MATCH(DummyStandings!$E12&amp;DummyStandings!P$4,Results!$K$2:$K$282,0),11)=DummyStandings!$E12,1,0))))</f>
        <v>0</v>
      </c>
      <c r="Q12" s="44">
        <f>IF(Q$4=$E12,0,INDEX(Results!$B$2:$O$282,MATCH(DummyStandings!$E12&amp;DummyStandings!Q$4,Results!$K$2:$K$282,0),3)-INDEX(Results!$B$2:$O$282,MATCH(DummyStandings!$E12&amp;DummyStandings!Q$4,Results!$K$2:$K$282,0),4))</f>
        <v>-6</v>
      </c>
      <c r="R12" s="36">
        <f t="shared" si="4"/>
        <v>0</v>
      </c>
      <c r="S12" s="37">
        <f>IF(S$4=$E12,0,IF(AND(INDEX(Results!$B$2:$AB$282,MATCH(DummyStandings!S$4&amp;DummyStandings!$E12,Results!$K$2:$K$282,0),11)=DummyStandings!$E12,INDEX(Results!$B$2:$AB$282,MATCH(DummyStandings!$E12&amp;DummyStandings!S$4,Results!$K$2:$K$282,0),11)=DummyStandings!$E12),2,IF(INDEX(Results!$B$2:$AB$282,MATCH(DummyStandings!S$4&amp;DummyStandings!$E12,Results!$K$2:$K$282,0),11)=DummyStandings!$E12,1,IF(INDEX(Results!$B$2:$AB$282,MATCH(DummyStandings!$E12&amp;DummyStandings!S$4,Results!$K$2:$K$282,0),11)=DummyStandings!$E12,1,0))))</f>
        <v>0</v>
      </c>
      <c r="T12" s="44">
        <f>IF(T$4=$E12,0,INDEX(Results!$B$2:$O$282,MATCH(DummyStandings!$E12&amp;DummyStandings!T$4,Results!$K$2:$K$282,0),3)-INDEX(Results!$B$2:$O$282,MATCH(DummyStandings!$E12&amp;DummyStandings!T$4,Results!$K$2:$K$282,0),4))</f>
        <v>-7</v>
      </c>
      <c r="U12" s="36">
        <f t="shared" si="5"/>
        <v>0</v>
      </c>
      <c r="V12" s="37">
        <f>IF(V$4=$E12,0,IF(AND(INDEX(Results!$B$2:$AB$282,MATCH(DummyStandings!V$4&amp;DummyStandings!$E12,Results!$K$2:$K$282,0),11)=DummyStandings!$E12,INDEX(Results!$B$2:$AB$282,MATCH(DummyStandings!$E12&amp;DummyStandings!V$4,Results!$K$2:$K$282,0),11)=DummyStandings!$E12),2,IF(INDEX(Results!$B$2:$AB$282,MATCH(DummyStandings!V$4&amp;DummyStandings!$E12,Results!$K$2:$K$282,0),11)=DummyStandings!$E12,1,IF(INDEX(Results!$B$2:$AB$282,MATCH(DummyStandings!$E12&amp;DummyStandings!V$4,Results!$K$2:$K$282,0),11)=DummyStandings!$E12,1,0))))</f>
        <v>0</v>
      </c>
      <c r="W12" s="44">
        <f>IF(W$4=$E12,0,INDEX(Results!$B$2:$O$282,MATCH(DummyStandings!$E12&amp;DummyStandings!W$4,Results!$K$2:$K$282,0),3)-INDEX(Results!$B$2:$O$282,MATCH(DummyStandings!$E12&amp;DummyStandings!W$4,Results!$K$2:$K$282,0),4))</f>
        <v>-3</v>
      </c>
      <c r="X12" s="36">
        <f t="shared" si="6"/>
        <v>0</v>
      </c>
      <c r="Y12" s="37">
        <f>IF(Y$4=$E12,0,IF(AND(INDEX(Results!$B$2:$AB$282,MATCH(DummyStandings!Y$4&amp;DummyStandings!$E12,Results!$K$2:$K$282,0),11)=DummyStandings!$E12,INDEX(Results!$B$2:$AB$282,MATCH(DummyStandings!$E12&amp;DummyStandings!Y$4,Results!$K$2:$K$282,0),11)=DummyStandings!$E12),2,IF(INDEX(Results!$B$2:$AB$282,MATCH(DummyStandings!Y$4&amp;DummyStandings!$E12,Results!$K$2:$K$282,0),11)=DummyStandings!$E12,1,IF(INDEX(Results!$B$2:$AB$282,MATCH(DummyStandings!$E12&amp;DummyStandings!Y$4,Results!$K$2:$K$282,0),11)=DummyStandings!$E12,1,0))))</f>
        <v>2</v>
      </c>
      <c r="Z12" s="44">
        <f>IF(Z$4=$E12,0,INDEX(Results!$B$2:$O$282,MATCH(DummyStandings!$E12&amp;DummyStandings!Z$4,Results!$K$2:$K$282,0),3)-INDEX(Results!$B$2:$O$282,MATCH(DummyStandings!$E12&amp;DummyStandings!Z$4,Results!$K$2:$K$282,0),4))</f>
        <v>12</v>
      </c>
      <c r="AA12" s="36">
        <f t="shared" si="7"/>
        <v>0</v>
      </c>
      <c r="AB12" s="37">
        <f>IF(AB$4=$E12,0,IF(AND(INDEX(Results!$B$2:$AB$282,MATCH(DummyStandings!AB$4&amp;DummyStandings!$E12,Results!$K$2:$K$282,0),11)=DummyStandings!$E12,INDEX(Results!$B$2:$AB$282,MATCH(DummyStandings!$E12&amp;DummyStandings!AB$4,Results!$K$2:$K$282,0),11)=DummyStandings!$E12),2,IF(INDEX(Results!$B$2:$AB$282,MATCH(DummyStandings!AB$4&amp;DummyStandings!$E12,Results!$K$2:$K$282,0),11)=DummyStandings!$E12,1,IF(INDEX(Results!$B$2:$AB$282,MATCH(DummyStandings!$E12&amp;DummyStandings!AB$4,Results!$K$2:$K$282,0),11)=DummyStandings!$E12,1,0))))</f>
        <v>0</v>
      </c>
      <c r="AC12" s="44">
        <f>IF(AC$4=$E12,0,INDEX(Results!$B$2:$O$282,MATCH(DummyStandings!$E12&amp;DummyStandings!AC$4,Results!$K$2:$K$282,0),3)-INDEX(Results!$B$2:$O$282,MATCH(DummyStandings!$E12&amp;DummyStandings!AC$4,Results!$K$2:$K$282,0),4))</f>
        <v>0</v>
      </c>
      <c r="AD12" s="133">
        <f>($F12*G12)+($I12*J12)+($L12*M12)+($O12*P12)+($R12*S12)+($U12*V12)+($X12*Y12)</f>
        <v>0</v>
      </c>
      <c r="AE12" s="36">
        <f>($F12*H12)+($I12*K12)+($L12*N12)+($O12*Q12)+($R12*T12)+($U12*W12)+($X12*Z12)</f>
        <v>0</v>
      </c>
      <c r="AF12" s="36">
        <f t="shared" si="8"/>
        <v>24</v>
      </c>
      <c r="AG12" s="132">
        <f t="shared" si="19"/>
        <v>4</v>
      </c>
      <c r="AH12" s="37">
        <f t="shared" si="9"/>
        <v>0</v>
      </c>
      <c r="AI12" s="36">
        <f t="shared" si="10"/>
        <v>1</v>
      </c>
      <c r="AJ12" s="36">
        <f t="shared" si="11"/>
        <v>0</v>
      </c>
      <c r="AK12" s="36">
        <f t="shared" si="12"/>
        <v>0</v>
      </c>
      <c r="AL12" s="133">
        <f t="shared" si="20"/>
        <v>0</v>
      </c>
      <c r="AM12" s="37">
        <f aca="true" t="shared" si="42" ref="AM12:AR12">AS12+AY12</f>
        <v>14</v>
      </c>
      <c r="AN12" s="37">
        <f t="shared" si="42"/>
        <v>5</v>
      </c>
      <c r="AO12" s="37">
        <f t="shared" si="42"/>
        <v>9</v>
      </c>
      <c r="AP12" s="37">
        <f t="shared" si="42"/>
        <v>191</v>
      </c>
      <c r="AQ12" s="37">
        <f t="shared" si="42"/>
        <v>242</v>
      </c>
      <c r="AR12" s="37">
        <f t="shared" si="42"/>
        <v>-51</v>
      </c>
      <c r="AS12" s="137">
        <f t="shared" si="27"/>
        <v>7</v>
      </c>
      <c r="AT12" s="34">
        <f>SUMPRODUCT((Results!$C$3:$C$282=DummyStandings!$C12)*(Results!$D$3:$D$282&gt;Results!$E$3:$E$282))</f>
        <v>3</v>
      </c>
      <c r="AU12" s="34">
        <f>SUMPRODUCT((Results!$C$3:$C$282=DummyStandings!$C12)*(Results!$D$3:$D$282&lt;Results!$E$3:$E$282))</f>
        <v>4</v>
      </c>
      <c r="AV12" s="34">
        <f>SUMIF(Results!$C$3:$C$282,$C12,Results!$D$3:$D$282)</f>
        <v>112</v>
      </c>
      <c r="AW12" s="34">
        <f>SUMIF(Results!$C$3:$C$282,$C12,Results!$E$3:$E$282)</f>
        <v>82</v>
      </c>
      <c r="AX12" s="34">
        <f t="shared" si="28"/>
        <v>30</v>
      </c>
      <c r="AY12" s="36">
        <f t="shared" si="29"/>
        <v>7</v>
      </c>
      <c r="AZ12" s="37">
        <f>SUMPRODUCT((Results!$F$3:$F$282=DummyStandings!$C12)*(Results!$E$3:$E$282&gt;Results!$D$3:$D$282))</f>
        <v>2</v>
      </c>
      <c r="BA12" s="37">
        <f>SUMPRODUCT((Results!$F$3:$F$282=DummyStandings!$C12)*(Results!$E$3:$E$282&lt;Results!$D$3:$D$282))</f>
        <v>5</v>
      </c>
      <c r="BB12" s="37">
        <f>SUMIF(Results!$F$3:$F$282,$C12,Results!$E$3:$E$282)</f>
        <v>79</v>
      </c>
      <c r="BC12" s="37">
        <f>SUMIF(Results!$F$3:$F$282,$C12,Results!$D$3:$D$282)</f>
        <v>160</v>
      </c>
      <c r="BD12" s="44">
        <f t="shared" si="30"/>
        <v>-81</v>
      </c>
      <c r="BE12" s="37">
        <f>INDEX(Teams!$B$5:$H$45,MATCH(DummyStandings!E12,Teams!$G$5:$G$45,0),7)</f>
        <v>40</v>
      </c>
      <c r="BF12" s="272">
        <f t="shared" si="40"/>
        <v>0.32857142857142857</v>
      </c>
      <c r="BG12" s="275">
        <f t="shared" si="31"/>
        <v>0.39571428571428574</v>
      </c>
      <c r="BH12" s="275">
        <f t="shared" si="41"/>
        <v>0.35095238095238096</v>
      </c>
      <c r="BI12" s="34">
        <v>1</v>
      </c>
      <c r="BJ12" s="132">
        <f t="shared" si="32"/>
        <v>24</v>
      </c>
      <c r="BK12" s="35">
        <f t="shared" si="33"/>
        <v>0</v>
      </c>
      <c r="BL12" s="35">
        <f t="shared" si="34"/>
        <v>0</v>
      </c>
      <c r="BM12" s="35">
        <f t="shared" si="35"/>
        <v>0</v>
      </c>
      <c r="BN12" s="35">
        <f t="shared" si="36"/>
        <v>0</v>
      </c>
      <c r="BO12" s="35">
        <f t="shared" si="37"/>
        <v>0</v>
      </c>
      <c r="BP12" s="137">
        <f t="shared" si="38"/>
        <v>0</v>
      </c>
      <c r="BQ12" s="36">
        <f t="shared" si="14"/>
        <v>25</v>
      </c>
      <c r="BR12" s="36">
        <f t="shared" si="15"/>
        <v>4</v>
      </c>
      <c r="BS12" s="132">
        <f t="shared" si="16"/>
        <v>1</v>
      </c>
      <c r="BT12" s="35">
        <f t="shared" si="39"/>
        <v>25</v>
      </c>
    </row>
    <row r="13" spans="2:72" ht="13.5" thickBot="1">
      <c r="B13" s="139"/>
      <c r="C13" s="162"/>
      <c r="D13" s="138"/>
      <c r="E13" s="166"/>
      <c r="F13" s="130" t="s">
        <v>47</v>
      </c>
      <c r="G13" s="130" t="s">
        <v>47</v>
      </c>
      <c r="H13" s="130" t="s">
        <v>47</v>
      </c>
      <c r="I13" s="130" t="s">
        <v>130</v>
      </c>
      <c r="J13" s="130" t="s">
        <v>130</v>
      </c>
      <c r="K13" s="130" t="s">
        <v>130</v>
      </c>
      <c r="L13" s="130" t="s">
        <v>48</v>
      </c>
      <c r="M13" s="130" t="s">
        <v>48</v>
      </c>
      <c r="N13" s="130" t="s">
        <v>48</v>
      </c>
      <c r="O13" s="130" t="s">
        <v>136</v>
      </c>
      <c r="P13" s="130" t="s">
        <v>136</v>
      </c>
      <c r="Q13" s="130" t="s">
        <v>136</v>
      </c>
      <c r="R13" s="130" t="s">
        <v>49</v>
      </c>
      <c r="S13" s="130" t="s">
        <v>49</v>
      </c>
      <c r="T13" s="130" t="s">
        <v>49</v>
      </c>
      <c r="U13" s="130" t="s">
        <v>134</v>
      </c>
      <c r="V13" s="130" t="s">
        <v>134</v>
      </c>
      <c r="W13" s="130" t="s">
        <v>134</v>
      </c>
      <c r="X13" s="130" t="s">
        <v>132</v>
      </c>
      <c r="Y13" s="130" t="s">
        <v>132</v>
      </c>
      <c r="Z13" s="130" t="s">
        <v>132</v>
      </c>
      <c r="AA13" s="130" t="s">
        <v>142</v>
      </c>
      <c r="AB13" s="130" t="s">
        <v>142</v>
      </c>
      <c r="AC13" s="130" t="s">
        <v>142</v>
      </c>
      <c r="AD13" s="41"/>
      <c r="AE13" s="138"/>
      <c r="AF13" s="138"/>
      <c r="AG13" s="261"/>
      <c r="AH13" s="120"/>
      <c r="AI13" s="138"/>
      <c r="AJ13" s="138"/>
      <c r="AK13" s="138"/>
      <c r="AL13" s="120"/>
      <c r="AM13" s="120"/>
      <c r="AN13" s="120"/>
      <c r="AO13" s="120"/>
      <c r="AP13" s="120"/>
      <c r="AQ13" s="120"/>
      <c r="AR13" s="120"/>
      <c r="AS13" s="38"/>
      <c r="AT13" s="39"/>
      <c r="AU13" s="39"/>
      <c r="AV13" s="39"/>
      <c r="AW13" s="39"/>
      <c r="AX13" s="39"/>
      <c r="AY13" s="269"/>
      <c r="AZ13" s="270"/>
      <c r="BA13" s="270"/>
      <c r="BB13" s="270"/>
      <c r="BC13" s="270"/>
      <c r="BD13" s="271"/>
      <c r="BE13" s="120"/>
      <c r="BF13" s="261"/>
      <c r="BG13" s="268"/>
      <c r="BH13" s="268"/>
      <c r="BI13" s="266"/>
      <c r="BJ13" s="261"/>
      <c r="BK13" s="268"/>
      <c r="BL13" s="268"/>
      <c r="BM13" s="268"/>
      <c r="BN13" s="268"/>
      <c r="BO13" s="268"/>
      <c r="BP13" s="266"/>
      <c r="BQ13" s="269"/>
      <c r="BR13" s="269"/>
      <c r="BS13" s="278"/>
      <c r="BT13" s="270"/>
    </row>
    <row r="14" spans="2:72" ht="12.75">
      <c r="B14" s="131">
        <f>SUM(AF14:AL14)</f>
        <v>2</v>
      </c>
      <c r="C14" s="160" t="str">
        <f>Teams!B14</f>
        <v>Colden University</v>
      </c>
      <c r="D14" s="136" t="str">
        <f>INDEX(Teams!$B$5:$F$45,MATCH(DummyStandings!$C14,Teams!$B$5:$B$45,0),COLUMN()+1)</f>
        <v>Horizon</v>
      </c>
      <c r="E14" s="208" t="str">
        <f>INDEX(Teams!$B$5:$H$45,MATCH(DummyStandings!$C14,Teams!$B$5:$B$45,0),6)</f>
        <v>COLD</v>
      </c>
      <c r="F14" s="136">
        <f aca="true" t="shared" si="43" ref="F14:F21">IF($E14=F$13,0,IF($AF14=INDEX($B$5:$BD$48,MATCH(F$13,$E$5:$E$48,0),31),1,0))</f>
        <v>0</v>
      </c>
      <c r="G14" s="32">
        <f>IF(G$13=$E14,0,IF(AND(INDEX(Results!$B$2:$AB$282,MATCH(DummyStandings!G$13&amp;DummyStandings!$E14,Results!$K$2:$K$282,0),11)=DummyStandings!$E14,INDEX(Results!$B$2:$AB$282,MATCH(DummyStandings!$E14&amp;DummyStandings!G$13,Results!$K$2:$K$282,0),11)=DummyStandings!$E14),2,IF(INDEX(Results!$B$2:$AB$282,MATCH(DummyStandings!G$13&amp;DummyStandings!$E14,Results!$K$2:$K$282,0),11)=DummyStandings!$E14,1,IF(INDEX(Results!$B$2:$AB$282,MATCH(DummyStandings!$E14&amp;DummyStandings!G$13,Results!$K$2:$K$282,0),11)=DummyStandings!$E14,1,0))))</f>
        <v>0</v>
      </c>
      <c r="H14" s="33">
        <f>IF(H$13=$E14,0,INDEX(Results!$B$2:$O$282,MATCH(DummyStandings!$E14&amp;DummyStandings!H$13,Results!$K$2:$K$282,0),3)-INDEX(Results!$B$2:$O$282,MATCH(DummyStandings!$E14&amp;DummyStandings!H$13,Results!$K$2:$K$282,0),4))</f>
        <v>0</v>
      </c>
      <c r="I14" s="136">
        <f aca="true" t="shared" si="44" ref="I14:I21">IF($E14=I$13,0,IF($AF14=INDEX($B$5:$BD$48,MATCH(I$13,$E$5:$E$48,0),31),1,0))</f>
        <v>0</v>
      </c>
      <c r="J14" s="32">
        <f>IF(J$13=$E14,0,IF(AND(INDEX(Results!$B$2:$AB$282,MATCH(DummyStandings!J$13&amp;DummyStandings!$E14,Results!$K$2:$K$282,0),11)=DummyStandings!$E14,INDEX(Results!$B$2:$AB$282,MATCH(DummyStandings!$E14&amp;DummyStandings!J$13,Results!$K$2:$K$282,0),11)=DummyStandings!$E14),2,IF(INDEX(Results!$B$2:$AB$282,MATCH(DummyStandings!J$13&amp;DummyStandings!$E14,Results!$K$2:$K$282,0),11)=DummyStandings!$E14,1,IF(INDEX(Results!$B$2:$AB$282,MATCH(DummyStandings!$E14&amp;DummyStandings!J$13,Results!$K$2:$K$282,0),11)=DummyStandings!$E14,1,0))))</f>
        <v>2</v>
      </c>
      <c r="K14" s="33">
        <f>IF(K$13=$E14,0,INDEX(Results!$B$2:$O$282,MATCH(DummyStandings!$E14&amp;DummyStandings!K$13,Results!$K$2:$K$282,0),3)-INDEX(Results!$B$2:$O$282,MATCH(DummyStandings!$E14&amp;DummyStandings!K$13,Results!$K$2:$K$282,0),4))</f>
        <v>24</v>
      </c>
      <c r="L14" s="136">
        <f aca="true" t="shared" si="45" ref="L14:L21">IF($E14=L$13,0,IF($AF14=INDEX($B$5:$BD$48,MATCH(L$13,$E$5:$E$48,0),31),1,0))</f>
        <v>1</v>
      </c>
      <c r="M14" s="32">
        <f>IF(M$13=$E14,0,IF(AND(INDEX(Results!$B$2:$AB$282,MATCH(DummyStandings!M$13&amp;DummyStandings!$E14,Results!$K$2:$K$282,0),11)=DummyStandings!$E14,INDEX(Results!$B$2:$AB$282,MATCH(DummyStandings!$E14&amp;DummyStandings!M$13,Results!$K$2:$K$282,0),11)=DummyStandings!$E14),2,IF(INDEX(Results!$B$2:$AB$282,MATCH(DummyStandings!M$13&amp;DummyStandings!$E14,Results!$K$2:$K$282,0),11)=DummyStandings!$E14,1,IF(INDEX(Results!$B$2:$AB$282,MATCH(DummyStandings!$E14&amp;DummyStandings!M$13,Results!$K$2:$K$282,0),11)=DummyStandings!$E14,1,0))))</f>
        <v>1</v>
      </c>
      <c r="N14" s="33">
        <f>IF(N$13=$E14,0,INDEX(Results!$B$2:$O$282,MATCH(DummyStandings!$E14&amp;DummyStandings!N$13,Results!$K$2:$K$282,0),3)-INDEX(Results!$B$2:$O$282,MATCH(DummyStandings!$E14&amp;DummyStandings!N$13,Results!$K$2:$K$282,0),4))</f>
        <v>-9</v>
      </c>
      <c r="O14" s="136">
        <f aca="true" t="shared" si="46" ref="O14:O21">IF($E14=O$13,0,IF($AF14=INDEX($B$5:$BD$48,MATCH(O$13,$E$5:$E$48,0),31),1,0))</f>
        <v>0</v>
      </c>
      <c r="P14" s="32">
        <f>IF(P$13=$E14,0,IF(AND(INDEX(Results!$B$2:$AB$282,MATCH(DummyStandings!P$13&amp;DummyStandings!$E14,Results!$K$2:$K$282,0),11)=DummyStandings!$E14,INDEX(Results!$B$2:$AB$282,MATCH(DummyStandings!$E14&amp;DummyStandings!P$13,Results!$K$2:$K$282,0),11)=DummyStandings!$E14),2,IF(INDEX(Results!$B$2:$AB$282,MATCH(DummyStandings!P$13&amp;DummyStandings!$E14,Results!$K$2:$K$282,0),11)=DummyStandings!$E14,1,IF(INDEX(Results!$B$2:$AB$282,MATCH(DummyStandings!$E14&amp;DummyStandings!P$13,Results!$K$2:$K$282,0),11)=DummyStandings!$E14,1,0))))</f>
        <v>2</v>
      </c>
      <c r="Q14" s="33">
        <f>IF(Q$13=$E14,0,INDEX(Results!$B$2:$O$282,MATCH(DummyStandings!$E14&amp;DummyStandings!Q$13,Results!$K$2:$K$282,0),3)-INDEX(Results!$B$2:$O$282,MATCH(DummyStandings!$E14&amp;DummyStandings!Q$13,Results!$K$2:$K$282,0),4))</f>
        <v>24</v>
      </c>
      <c r="R14" s="136">
        <f aca="true" t="shared" si="47" ref="R14:R21">IF($E14=R$13,0,IF($AF14=INDEX($B$5:$BD$48,MATCH(R$13,$E$5:$E$48,0),31),1,0))</f>
        <v>0</v>
      </c>
      <c r="S14" s="32">
        <f>IF(S$13=$E14,0,IF(AND(INDEX(Results!$B$2:$AB$282,MATCH(DummyStandings!S$13&amp;DummyStandings!$E14,Results!$K$2:$K$282,0),11)=DummyStandings!$E14,INDEX(Results!$B$2:$AB$282,MATCH(DummyStandings!$E14&amp;DummyStandings!S$13,Results!$K$2:$K$282,0),11)=DummyStandings!$E14),2,IF(INDEX(Results!$B$2:$AB$282,MATCH(DummyStandings!S$13&amp;DummyStandings!$E14,Results!$K$2:$K$282,0),11)=DummyStandings!$E14,1,IF(INDEX(Results!$B$2:$AB$282,MATCH(DummyStandings!$E14&amp;DummyStandings!S$13,Results!$K$2:$K$282,0),11)=DummyStandings!$E14,1,0))))</f>
        <v>2</v>
      </c>
      <c r="T14" s="33">
        <f>IF(T$13=$E14,0,INDEX(Results!$B$2:$O$282,MATCH(DummyStandings!$E14&amp;DummyStandings!T$13,Results!$K$2:$K$282,0),3)-INDEX(Results!$B$2:$O$282,MATCH(DummyStandings!$E14&amp;DummyStandings!T$13,Results!$K$2:$K$282,0),4))</f>
        <v>17</v>
      </c>
      <c r="U14" s="136">
        <f aca="true" t="shared" si="48" ref="U14:U21">IF($E14=U$13,0,IF($AF14=INDEX($B$5:$BD$48,MATCH(U$13,$E$5:$E$48,0),31),1,0))</f>
        <v>0</v>
      </c>
      <c r="V14" s="32">
        <f>IF(V$13=$E14,0,IF(AND(INDEX(Results!$B$2:$AB$282,MATCH(DummyStandings!V$13&amp;DummyStandings!$E14,Results!$K$2:$K$282,0),11)=DummyStandings!$E14,INDEX(Results!$B$2:$AB$282,MATCH(DummyStandings!$E14&amp;DummyStandings!V$13,Results!$K$2:$K$282,0),11)=DummyStandings!$E14),2,IF(INDEX(Results!$B$2:$AB$282,MATCH(DummyStandings!V$13&amp;DummyStandings!$E14,Results!$K$2:$K$282,0),11)=DummyStandings!$E14,1,IF(INDEX(Results!$B$2:$AB$282,MATCH(DummyStandings!$E14&amp;DummyStandings!V$13,Results!$K$2:$K$282,0),11)=DummyStandings!$E14,1,0))))</f>
        <v>2</v>
      </c>
      <c r="W14" s="33">
        <f>IF(W$13=$E14,0,INDEX(Results!$B$2:$O$282,MATCH(DummyStandings!$E14&amp;DummyStandings!W$13,Results!$K$2:$K$282,0),3)-INDEX(Results!$B$2:$O$282,MATCH(DummyStandings!$E14&amp;DummyStandings!W$13,Results!$K$2:$K$282,0),4))</f>
        <v>7</v>
      </c>
      <c r="X14" s="136">
        <f aca="true" t="shared" si="49" ref="X14:X21">IF($E14=X$13,0,IF($AF14=INDEX($B$5:$BD$48,MATCH(X$13,$E$5:$E$48,0),31),1,0))</f>
        <v>0</v>
      </c>
      <c r="Y14" s="32">
        <f>IF(Y$13=$E14,0,IF(AND(INDEX(Results!$B$2:$AB$282,MATCH(DummyStandings!Y$13&amp;DummyStandings!$E14,Results!$K$2:$K$282,0),11)=DummyStandings!$E14,INDEX(Results!$B$2:$AB$282,MATCH(DummyStandings!$E14&amp;DummyStandings!Y$13,Results!$K$2:$K$282,0),11)=DummyStandings!$E14),2,IF(INDEX(Results!$B$2:$AB$282,MATCH(DummyStandings!Y$13&amp;DummyStandings!$E14,Results!$K$2:$K$282,0),11)=DummyStandings!$E14,1,IF(INDEX(Results!$B$2:$AB$282,MATCH(DummyStandings!$E14&amp;DummyStandings!Y$13,Results!$K$2:$K$282,0),11)=DummyStandings!$E14,1,0))))</f>
        <v>2</v>
      </c>
      <c r="Z14" s="33">
        <f>IF(Z$13=$E14,0,INDEX(Results!$B$2:$O$282,MATCH(DummyStandings!$E14&amp;DummyStandings!Z$13,Results!$K$2:$K$282,0),3)-INDEX(Results!$B$2:$O$282,MATCH(DummyStandings!$E14&amp;DummyStandings!Z$13,Results!$K$2:$K$282,0),4))</f>
        <v>13</v>
      </c>
      <c r="AA14" s="136">
        <f aca="true" t="shared" si="50" ref="AA14:AA21">IF($E14=AA$13,0,IF($AF14=INDEX($B$5:$BD$48,MATCH(AA$13,$E$5:$E$48,0),31),1,0))</f>
        <v>0</v>
      </c>
      <c r="AB14" s="32">
        <f>IF(AB$13=$E14,0,IF(AND(INDEX(Results!$B$2:$AB$282,MATCH(DummyStandings!AB$13&amp;DummyStandings!$E14,Results!$K$2:$K$282,0),11)=DummyStandings!$E14,INDEX(Results!$B$2:$AB$282,MATCH(DummyStandings!$E14&amp;DummyStandings!AB$13,Results!$K$2:$K$282,0),11)=DummyStandings!$E14),2,IF(INDEX(Results!$B$2:$AB$282,MATCH(DummyStandings!AB$13&amp;DummyStandings!$E14,Results!$K$2:$K$282,0),11)=DummyStandings!$E14,1,IF(INDEX(Results!$B$2:$AB$282,MATCH(DummyStandings!$E14&amp;DummyStandings!AB$13,Results!$K$2:$K$282,0),11)=DummyStandings!$E14,1,0))))</f>
        <v>2</v>
      </c>
      <c r="AC14" s="33">
        <f>IF(AC$13=$E14,0,INDEX(Results!$B$2:$O$282,MATCH(DummyStandings!$E14&amp;DummyStandings!AC$13,Results!$K$2:$K$282,0),3)-INDEX(Results!$B$2:$O$282,MATCH(DummyStandings!$E14&amp;DummyStandings!AC$13,Results!$K$2:$K$282,0),4))</f>
        <v>20</v>
      </c>
      <c r="AD14" s="131">
        <f>($F14*G14)+($I14*J14)+($L14*M14)+($O14*P14)+($R14*S14)+($U14*V14)+($X14*Y14)</f>
        <v>1</v>
      </c>
      <c r="AE14" s="136">
        <f>($F14*H14)+($I14*K14)+($L14*N14)+($O14*Q14)+($R14*T14)+($U14*W14)+($X14*Z14)</f>
        <v>-9</v>
      </c>
      <c r="AF14" s="136">
        <f aca="true" t="shared" si="51" ref="AF14:AF21">RANK($AN14,$AN$5:$AN$48)</f>
        <v>2</v>
      </c>
      <c r="AG14" s="132">
        <f t="shared" si="19"/>
        <v>0</v>
      </c>
      <c r="AH14" s="32">
        <f aca="true" t="shared" si="52" ref="AH14:AH21">SUMPRODUCT(($AF14=$AF$5:$AF$48)*($AD14=$AD$5:$AD$48)*($AE14&lt;$AE$5:$AE$48))</f>
        <v>0</v>
      </c>
      <c r="AI14" s="136">
        <f aca="true" t="shared" si="53" ref="AI14:AI21">SUMPRODUCT(($AF$5:$AF$48=$AF14)*($AG$5:$AG$48=$AG14)*($AH$5:$AH$48=$AH14)*($AR$5:$AR$48&gt;$AR14))</f>
        <v>0</v>
      </c>
      <c r="AJ14" s="136">
        <f aca="true" t="shared" si="54" ref="AJ14:AJ21">SUMPRODUCT(($AF$5:$AF$48=$AF14)*($AG$5:$AG$48=$AG14)*($AH$5:$AH$48=$AH14)*($AI$5:$AI$48=$AI14)*($AP$5:$AP$48&gt;$AP14))</f>
        <v>0</v>
      </c>
      <c r="AK14" s="131">
        <f aca="true" t="shared" si="55" ref="AK14:AK21">SUMPRODUCT(($AF$5:$AF$48=$AF14)*($AG$5:$AG$48=$AG14)*($AH$5:$AH$48=$AH14)*($AI$5:$AI$48=$AI14)*($AJ$5:$AJ$48=$AJ14)*($BB$5:$BB$48&gt;$BB14))</f>
        <v>0</v>
      </c>
      <c r="AL14" s="131">
        <f t="shared" si="20"/>
        <v>0</v>
      </c>
      <c r="AM14" s="136">
        <f t="shared" si="21"/>
        <v>14</v>
      </c>
      <c r="AN14" s="32">
        <f t="shared" si="22"/>
        <v>13</v>
      </c>
      <c r="AO14" s="32">
        <f t="shared" si="23"/>
        <v>1</v>
      </c>
      <c r="AP14" s="32">
        <f t="shared" si="24"/>
        <v>284</v>
      </c>
      <c r="AQ14" s="32">
        <f t="shared" si="25"/>
        <v>117</v>
      </c>
      <c r="AR14" s="32">
        <f t="shared" si="26"/>
        <v>167</v>
      </c>
      <c r="AS14" s="136">
        <f t="shared" si="27"/>
        <v>7</v>
      </c>
      <c r="AT14" s="32">
        <f>SUMPRODUCT((Results!$C$3:$C$282=DummyStandings!$C14)*(Results!$D$3:$D$282&gt;Results!$E$3:$E$282))</f>
        <v>6</v>
      </c>
      <c r="AU14" s="32">
        <f>SUMPRODUCT((Results!$C$3:$C$282=DummyStandings!$C14)*(Results!$D$3:$D$282&lt;Results!$E$3:$E$282))</f>
        <v>1</v>
      </c>
      <c r="AV14" s="32">
        <f>SUMIF(Results!$C$3:$C$282,$C14,Results!$D$3:$D$282)</f>
        <v>161</v>
      </c>
      <c r="AW14" s="32">
        <f>SUMIF(Results!$C$3:$C$282,$C14,Results!$E$3:$E$282)</f>
        <v>65</v>
      </c>
      <c r="AX14" s="32">
        <f t="shared" si="28"/>
        <v>96</v>
      </c>
      <c r="AY14" s="137">
        <f t="shared" si="29"/>
        <v>7</v>
      </c>
      <c r="AZ14" s="34">
        <f>SUMPRODUCT((Results!$F$3:$F$282=DummyStandings!$C14)*(Results!$E$3:$E$282&gt;Results!$D$3:$D$282))</f>
        <v>7</v>
      </c>
      <c r="BA14" s="34">
        <f>SUMPRODUCT((Results!$F$3:$F$282=DummyStandings!$C14)*(Results!$E$3:$E$282&lt;Results!$D$3:$D$282))</f>
        <v>0</v>
      </c>
      <c r="BB14" s="34">
        <f>SUMIF(Results!$F$3:$F$282,$C14,Results!$E$3:$E$282)</f>
        <v>123</v>
      </c>
      <c r="BC14" s="34">
        <f>SUMIF(Results!$F$3:$F$282,$C14,Results!$D$3:$D$282)</f>
        <v>52</v>
      </c>
      <c r="BD14" s="35">
        <f t="shared" si="30"/>
        <v>71</v>
      </c>
      <c r="BE14" s="32">
        <f>INDEX(Teams!$B$5:$H$45,MATCH(DummyStandings!E14,Teams!$G$5:$G$45,0),7)</f>
        <v>9</v>
      </c>
      <c r="BF14" s="272">
        <f t="shared" si="40"/>
        <v>0.9571428571428571</v>
      </c>
      <c r="BG14" s="275">
        <f t="shared" si="31"/>
        <v>0.3385714285714286</v>
      </c>
      <c r="BH14" s="275">
        <f t="shared" si="41"/>
        <v>0.7509523809523809</v>
      </c>
      <c r="BI14" s="34">
        <v>1</v>
      </c>
      <c r="BJ14" s="132">
        <f t="shared" si="32"/>
        <v>1</v>
      </c>
      <c r="BK14" s="35">
        <f t="shared" si="33"/>
        <v>0</v>
      </c>
      <c r="BL14" s="35">
        <f t="shared" si="34"/>
        <v>0</v>
      </c>
      <c r="BM14" s="35">
        <f t="shared" si="35"/>
        <v>0</v>
      </c>
      <c r="BN14" s="35">
        <f t="shared" si="36"/>
        <v>0</v>
      </c>
      <c r="BO14" s="35">
        <f t="shared" si="37"/>
        <v>0</v>
      </c>
      <c r="BP14" s="137">
        <f t="shared" si="38"/>
        <v>0</v>
      </c>
      <c r="BQ14" s="131">
        <f aca="true" t="shared" si="56" ref="BQ14:BQ21">SUM(BI14:BP14)</f>
        <v>2</v>
      </c>
      <c r="BR14" s="136">
        <f aca="true" t="shared" si="57" ref="BR14:BR21">B14-BQ14</f>
        <v>0</v>
      </c>
      <c r="BS14" s="132">
        <f aca="true" t="shared" si="58" ref="BS14:BS21">SUMPRODUCT(($AF$5:$AF$48=$AF14)*($AR$5:$AR$48&gt;$AR14))</f>
        <v>1</v>
      </c>
      <c r="BT14" s="35">
        <f t="shared" si="39"/>
        <v>3</v>
      </c>
    </row>
    <row r="15" spans="2:72" ht="12.75">
      <c r="B15" s="132">
        <f aca="true" t="shared" si="59" ref="B15:B21">SUM(AF15:AL15)</f>
        <v>22</v>
      </c>
      <c r="C15" s="161" t="str">
        <f>Teams!B15</f>
        <v>Indana University</v>
      </c>
      <c r="D15" s="137" t="str">
        <f>INDEX(Teams!$B$5:$F$45,MATCH(DummyStandings!$C15,Teams!$B$5:$B$45,0),COLUMN()+1)</f>
        <v>Horizon</v>
      </c>
      <c r="E15" s="165" t="str">
        <f>INDEX(Teams!$B$5:$H$45,MATCH(DummyStandings!$C15,Teams!$B$5:$B$45,0),6)</f>
        <v>INDN</v>
      </c>
      <c r="F15" s="137">
        <f t="shared" si="43"/>
        <v>0</v>
      </c>
      <c r="G15" s="34">
        <f>IF(G$13=$E15,0,IF(AND(INDEX(Results!$B$2:$AB$282,MATCH(DummyStandings!G$13&amp;DummyStandings!$E15,Results!$K$2:$K$282,0),11)=DummyStandings!$E15,INDEX(Results!$B$2:$AB$282,MATCH(DummyStandings!$E15&amp;DummyStandings!G$13,Results!$K$2:$K$282,0),11)=DummyStandings!$E15),2,IF(INDEX(Results!$B$2:$AB$282,MATCH(DummyStandings!G$13&amp;DummyStandings!$E15,Results!$K$2:$K$282,0),11)=DummyStandings!$E15,1,IF(INDEX(Results!$B$2:$AB$282,MATCH(DummyStandings!$E15&amp;DummyStandings!G$13,Results!$K$2:$K$282,0),11)=DummyStandings!$E15,1,0))))</f>
        <v>0</v>
      </c>
      <c r="H15" s="35">
        <f>IF(H$13=$E15,0,INDEX(Results!$B$2:$O$282,MATCH(DummyStandings!$E15&amp;DummyStandings!H$13,Results!$K$2:$K$282,0),3)-INDEX(Results!$B$2:$O$282,MATCH(DummyStandings!$E15&amp;DummyStandings!H$13,Results!$K$2:$K$282,0),4))</f>
        <v>-24</v>
      </c>
      <c r="I15" s="137">
        <f t="shared" si="44"/>
        <v>0</v>
      </c>
      <c r="J15" s="34">
        <f>IF(J$13=$E15,0,IF(AND(INDEX(Results!$B$2:$AB$282,MATCH(DummyStandings!J$13&amp;DummyStandings!$E15,Results!$K$2:$K$282,0),11)=DummyStandings!$E15,INDEX(Results!$B$2:$AB$282,MATCH(DummyStandings!$E15&amp;DummyStandings!J$13,Results!$K$2:$K$282,0),11)=DummyStandings!$E15),2,IF(INDEX(Results!$B$2:$AB$282,MATCH(DummyStandings!J$13&amp;DummyStandings!$E15,Results!$K$2:$K$282,0),11)=DummyStandings!$E15,1,IF(INDEX(Results!$B$2:$AB$282,MATCH(DummyStandings!$E15&amp;DummyStandings!J$13,Results!$K$2:$K$282,0),11)=DummyStandings!$E15,1,0))))</f>
        <v>0</v>
      </c>
      <c r="K15" s="35">
        <f>IF(K$13=$E15,0,INDEX(Results!$B$2:$O$282,MATCH(DummyStandings!$E15&amp;DummyStandings!K$13,Results!$K$2:$K$282,0),3)-INDEX(Results!$B$2:$O$282,MATCH(DummyStandings!$E15&amp;DummyStandings!K$13,Results!$K$2:$K$282,0),4))</f>
        <v>0</v>
      </c>
      <c r="L15" s="137">
        <f t="shared" si="45"/>
        <v>0</v>
      </c>
      <c r="M15" s="34">
        <f>IF(M$13=$E15,0,IF(AND(INDEX(Results!$B$2:$AB$282,MATCH(DummyStandings!M$13&amp;DummyStandings!$E15,Results!$K$2:$K$282,0),11)=DummyStandings!$E15,INDEX(Results!$B$2:$AB$282,MATCH(DummyStandings!$E15&amp;DummyStandings!M$13,Results!$K$2:$K$282,0),11)=DummyStandings!$E15),2,IF(INDEX(Results!$B$2:$AB$282,MATCH(DummyStandings!M$13&amp;DummyStandings!$E15,Results!$K$2:$K$282,0),11)=DummyStandings!$E15,1,IF(INDEX(Results!$B$2:$AB$282,MATCH(DummyStandings!$E15&amp;DummyStandings!M$13,Results!$K$2:$K$282,0),11)=DummyStandings!$E15,1,0))))</f>
        <v>0</v>
      </c>
      <c r="N15" s="35">
        <f>IF(N$13=$E15,0,INDEX(Results!$B$2:$O$282,MATCH(DummyStandings!$E15&amp;DummyStandings!N$13,Results!$K$2:$K$282,0),3)-INDEX(Results!$B$2:$O$282,MATCH(DummyStandings!$E15&amp;DummyStandings!N$13,Results!$K$2:$K$282,0),4))</f>
        <v>-3</v>
      </c>
      <c r="O15" s="137">
        <f t="shared" si="46"/>
        <v>1</v>
      </c>
      <c r="P15" s="34">
        <f>IF(P$13=$E15,0,IF(AND(INDEX(Results!$B$2:$AB$282,MATCH(DummyStandings!P$13&amp;DummyStandings!$E15,Results!$K$2:$K$282,0),11)=DummyStandings!$E15,INDEX(Results!$B$2:$AB$282,MATCH(DummyStandings!$E15&amp;DummyStandings!P$13,Results!$K$2:$K$282,0),11)=DummyStandings!$E15),2,IF(INDEX(Results!$B$2:$AB$282,MATCH(DummyStandings!P$13&amp;DummyStandings!$E15,Results!$K$2:$K$282,0),11)=DummyStandings!$E15,1,IF(INDEX(Results!$B$2:$AB$282,MATCH(DummyStandings!$E15&amp;DummyStandings!P$13,Results!$K$2:$K$282,0),11)=DummyStandings!$E15,1,0))))</f>
        <v>1</v>
      </c>
      <c r="Q15" s="35">
        <f>IF(Q$13=$E15,0,INDEX(Results!$B$2:$O$282,MATCH(DummyStandings!$E15&amp;DummyStandings!Q$13,Results!$K$2:$K$282,0),3)-INDEX(Results!$B$2:$O$282,MATCH(DummyStandings!$E15&amp;DummyStandings!Q$13,Results!$K$2:$K$282,0),4))</f>
        <v>10</v>
      </c>
      <c r="R15" s="137">
        <f t="shared" si="47"/>
        <v>0</v>
      </c>
      <c r="S15" s="34">
        <f>IF(S$13=$E15,0,IF(AND(INDEX(Results!$B$2:$AB$282,MATCH(DummyStandings!S$13&amp;DummyStandings!$E15,Results!$K$2:$K$282,0),11)=DummyStandings!$E15,INDEX(Results!$B$2:$AB$282,MATCH(DummyStandings!$E15&amp;DummyStandings!S$13,Results!$K$2:$K$282,0),11)=DummyStandings!$E15),2,IF(INDEX(Results!$B$2:$AB$282,MATCH(DummyStandings!S$13&amp;DummyStandings!$E15,Results!$K$2:$K$282,0),11)=DummyStandings!$E15,1,IF(INDEX(Results!$B$2:$AB$282,MATCH(DummyStandings!$E15&amp;DummyStandings!S$13,Results!$K$2:$K$282,0),11)=DummyStandings!$E15,1,0))))</f>
        <v>1</v>
      </c>
      <c r="T15" s="35">
        <f>IF(T$13=$E15,0,INDEX(Results!$B$2:$O$282,MATCH(DummyStandings!$E15&amp;DummyStandings!T$13,Results!$K$2:$K$282,0),3)-INDEX(Results!$B$2:$O$282,MATCH(DummyStandings!$E15&amp;DummyStandings!T$13,Results!$K$2:$K$282,0),4))</f>
        <v>3</v>
      </c>
      <c r="U15" s="137">
        <f t="shared" si="48"/>
        <v>0</v>
      </c>
      <c r="V15" s="34">
        <f>IF(V$13=$E15,0,IF(AND(INDEX(Results!$B$2:$AB$282,MATCH(DummyStandings!V$13&amp;DummyStandings!$E15,Results!$K$2:$K$282,0),11)=DummyStandings!$E15,INDEX(Results!$B$2:$AB$282,MATCH(DummyStandings!$E15&amp;DummyStandings!V$13,Results!$K$2:$K$282,0),11)=DummyStandings!$E15),2,IF(INDEX(Results!$B$2:$AB$282,MATCH(DummyStandings!V$13&amp;DummyStandings!$E15,Results!$K$2:$K$282,0),11)=DummyStandings!$E15,1,IF(INDEX(Results!$B$2:$AB$282,MATCH(DummyStandings!$E15&amp;DummyStandings!V$13,Results!$K$2:$K$282,0),11)=DummyStandings!$E15,1,0))))</f>
        <v>2</v>
      </c>
      <c r="W15" s="35">
        <f>IF(W$13=$E15,0,INDEX(Results!$B$2:$O$282,MATCH(DummyStandings!$E15&amp;DummyStandings!W$13,Results!$K$2:$K$282,0),3)-INDEX(Results!$B$2:$O$282,MATCH(DummyStandings!$E15&amp;DummyStandings!W$13,Results!$K$2:$K$282,0),4))</f>
        <v>13</v>
      </c>
      <c r="X15" s="137">
        <f t="shared" si="49"/>
        <v>0</v>
      </c>
      <c r="Y15" s="34">
        <f>IF(Y$13=$E15,0,IF(AND(INDEX(Results!$B$2:$AB$282,MATCH(DummyStandings!Y$13&amp;DummyStandings!$E15,Results!$K$2:$K$282,0),11)=DummyStandings!$E15,INDEX(Results!$B$2:$AB$282,MATCH(DummyStandings!$E15&amp;DummyStandings!Y$13,Results!$K$2:$K$282,0),11)=DummyStandings!$E15),2,IF(INDEX(Results!$B$2:$AB$282,MATCH(DummyStandings!Y$13&amp;DummyStandings!$E15,Results!$K$2:$K$282,0),11)=DummyStandings!$E15,1,IF(INDEX(Results!$B$2:$AB$282,MATCH(DummyStandings!$E15&amp;DummyStandings!Y$13,Results!$K$2:$K$282,0),11)=DummyStandings!$E15,1,0))))</f>
        <v>0</v>
      </c>
      <c r="Z15" s="35">
        <f>IF(Z$13=$E15,0,INDEX(Results!$B$2:$O$282,MATCH(DummyStandings!$E15&amp;DummyStandings!Z$13,Results!$K$2:$K$282,0),3)-INDEX(Results!$B$2:$O$282,MATCH(DummyStandings!$E15&amp;DummyStandings!Z$13,Results!$K$2:$K$282,0),4))</f>
        <v>-6</v>
      </c>
      <c r="AA15" s="137">
        <f t="shared" si="50"/>
        <v>0</v>
      </c>
      <c r="AB15" s="34">
        <f>IF(AB$13=$E15,0,IF(AND(INDEX(Results!$B$2:$AB$282,MATCH(DummyStandings!AB$13&amp;DummyStandings!$E15,Results!$K$2:$K$282,0),11)=DummyStandings!$E15,INDEX(Results!$B$2:$AB$282,MATCH(DummyStandings!$E15&amp;DummyStandings!AB$13,Results!$K$2:$K$282,0),11)=DummyStandings!$E15),2,IF(INDEX(Results!$B$2:$AB$282,MATCH(DummyStandings!AB$13&amp;DummyStandings!$E15,Results!$K$2:$K$282,0),11)=DummyStandings!$E15,1,IF(INDEX(Results!$B$2:$AB$282,MATCH(DummyStandings!$E15&amp;DummyStandings!AB$13,Results!$K$2:$K$282,0),11)=DummyStandings!$E15,1,0))))</f>
        <v>2</v>
      </c>
      <c r="AC15" s="35">
        <f>IF(AC$13=$E15,0,INDEX(Results!$B$2:$O$282,MATCH(DummyStandings!$E15&amp;DummyStandings!AC$13,Results!$K$2:$K$282,0),3)-INDEX(Results!$B$2:$O$282,MATCH(DummyStandings!$E15&amp;DummyStandings!AC$13,Results!$K$2:$K$282,0),4))</f>
        <v>7</v>
      </c>
      <c r="AD15" s="132">
        <f aca="true" t="shared" si="60" ref="AD15:AE20">($F15*G15)+($I15*J15)+($L15*M15)+($O15*P15)+($R15*S15)+($U15*V15)+($X15*Y15)</f>
        <v>1</v>
      </c>
      <c r="AE15" s="137">
        <f t="shared" si="60"/>
        <v>10</v>
      </c>
      <c r="AF15" s="137">
        <f t="shared" si="51"/>
        <v>21</v>
      </c>
      <c r="AG15" s="132">
        <f t="shared" si="19"/>
        <v>0</v>
      </c>
      <c r="AH15" s="34">
        <f t="shared" si="52"/>
        <v>1</v>
      </c>
      <c r="AI15" s="137">
        <f t="shared" si="53"/>
        <v>0</v>
      </c>
      <c r="AJ15" s="137">
        <f t="shared" si="54"/>
        <v>0</v>
      </c>
      <c r="AK15" s="132">
        <f t="shared" si="55"/>
        <v>0</v>
      </c>
      <c r="AL15" s="132">
        <f t="shared" si="20"/>
        <v>0</v>
      </c>
      <c r="AM15" s="137">
        <f t="shared" si="21"/>
        <v>14</v>
      </c>
      <c r="AN15" s="34">
        <f t="shared" si="22"/>
        <v>6</v>
      </c>
      <c r="AO15" s="34">
        <f t="shared" si="23"/>
        <v>8</v>
      </c>
      <c r="AP15" s="34">
        <f t="shared" si="24"/>
        <v>172</v>
      </c>
      <c r="AQ15" s="34">
        <f t="shared" si="25"/>
        <v>238</v>
      </c>
      <c r="AR15" s="34">
        <f t="shared" si="26"/>
        <v>-66</v>
      </c>
      <c r="AS15" s="137">
        <f t="shared" si="27"/>
        <v>7</v>
      </c>
      <c r="AT15" s="34">
        <f>SUMPRODUCT((Results!$C$3:$C$282=DummyStandings!$C15)*(Results!$D$3:$D$282&gt;Results!$E$3:$E$282))</f>
        <v>4</v>
      </c>
      <c r="AU15" s="34">
        <f>SUMPRODUCT((Results!$C$3:$C$282=DummyStandings!$C15)*(Results!$D$3:$D$282&lt;Results!$E$3:$E$282))</f>
        <v>3</v>
      </c>
      <c r="AV15" s="34">
        <f>SUMIF(Results!$C$3:$C$282,$C15,Results!$D$3:$D$282)</f>
        <v>107</v>
      </c>
      <c r="AW15" s="34">
        <f>SUMIF(Results!$C$3:$C$282,$C15,Results!$E$3:$E$282)</f>
        <v>107</v>
      </c>
      <c r="AX15" s="34">
        <f t="shared" si="28"/>
        <v>0</v>
      </c>
      <c r="AY15" s="137">
        <f t="shared" si="29"/>
        <v>7</v>
      </c>
      <c r="AZ15" s="34">
        <f>SUMPRODUCT((Results!$F$3:$F$282=DummyStandings!$C15)*(Results!$E$3:$E$282&gt;Results!$D$3:$D$282))</f>
        <v>2</v>
      </c>
      <c r="BA15" s="34">
        <f>SUMPRODUCT((Results!$F$3:$F$282=DummyStandings!$C15)*(Results!$E$3:$E$282&lt;Results!$D$3:$D$282))</f>
        <v>5</v>
      </c>
      <c r="BB15" s="34">
        <f>SUMIF(Results!$F$3:$F$282,$C15,Results!$E$3:$E$282)</f>
        <v>65</v>
      </c>
      <c r="BC15" s="34">
        <f>SUMIF(Results!$F$3:$F$282,$C15,Results!$D$3:$D$282)</f>
        <v>131</v>
      </c>
      <c r="BD15" s="35">
        <f t="shared" si="30"/>
        <v>-66</v>
      </c>
      <c r="BE15" s="34">
        <f>INDEX(Teams!$B$5:$H$45,MATCH(DummyStandings!E15,Teams!$G$5:$G$45,0),7)</f>
        <v>25</v>
      </c>
      <c r="BF15" s="272">
        <f t="shared" si="40"/>
        <v>0.3714285714285714</v>
      </c>
      <c r="BG15" s="275">
        <f t="shared" si="31"/>
        <v>0.39714285714285713</v>
      </c>
      <c r="BH15" s="275">
        <f t="shared" si="41"/>
        <v>0.37999999999999995</v>
      </c>
      <c r="BI15" s="34">
        <v>1</v>
      </c>
      <c r="BJ15" s="132">
        <f t="shared" si="32"/>
        <v>23</v>
      </c>
      <c r="BK15" s="35">
        <f t="shared" si="33"/>
        <v>0</v>
      </c>
      <c r="BL15" s="35">
        <f t="shared" si="34"/>
        <v>0</v>
      </c>
      <c r="BM15" s="35">
        <f t="shared" si="35"/>
        <v>0</v>
      </c>
      <c r="BN15" s="35">
        <f t="shared" si="36"/>
        <v>0</v>
      </c>
      <c r="BO15" s="35">
        <f t="shared" si="37"/>
        <v>0</v>
      </c>
      <c r="BP15" s="137">
        <f t="shared" si="38"/>
        <v>0</v>
      </c>
      <c r="BQ15" s="132">
        <f t="shared" si="56"/>
        <v>24</v>
      </c>
      <c r="BR15" s="137">
        <f t="shared" si="57"/>
        <v>-2</v>
      </c>
      <c r="BS15" s="132">
        <f t="shared" si="58"/>
        <v>2</v>
      </c>
      <c r="BT15" s="35">
        <f t="shared" si="39"/>
        <v>23</v>
      </c>
    </row>
    <row r="16" spans="2:72" ht="12.75">
      <c r="B16" s="132">
        <f t="shared" si="59"/>
        <v>3</v>
      </c>
      <c r="C16" s="161" t="str">
        <f>Teams!B16</f>
        <v>Ramusok Capital University</v>
      </c>
      <c r="D16" s="137" t="str">
        <f>INDEX(Teams!$B$5:$F$45,MATCH(DummyStandings!$C16,Teams!$B$5:$B$45,0),COLUMN()+1)</f>
        <v>Horizon</v>
      </c>
      <c r="E16" s="165" t="str">
        <f>INDEX(Teams!$B$5:$H$45,MATCH(DummyStandings!$C16,Teams!$B$5:$B$45,0),6)</f>
        <v>RCU</v>
      </c>
      <c r="F16" s="137">
        <f t="shared" si="43"/>
        <v>1</v>
      </c>
      <c r="G16" s="34">
        <f>IF(G$13=$E16,0,IF(AND(INDEX(Results!$B$2:$AB$282,MATCH(DummyStandings!G$13&amp;DummyStandings!$E16,Results!$K$2:$K$282,0),11)=DummyStandings!$E16,INDEX(Results!$B$2:$AB$282,MATCH(DummyStandings!$E16&amp;DummyStandings!G$13,Results!$K$2:$K$282,0),11)=DummyStandings!$E16),2,IF(INDEX(Results!$B$2:$AB$282,MATCH(DummyStandings!G$13&amp;DummyStandings!$E16,Results!$K$2:$K$282,0),11)=DummyStandings!$E16,1,IF(INDEX(Results!$B$2:$AB$282,MATCH(DummyStandings!$E16&amp;DummyStandings!G$13,Results!$K$2:$K$282,0),11)=DummyStandings!$E16,1,0))))</f>
        <v>1</v>
      </c>
      <c r="H16" s="35">
        <f>IF(H$13=$E16,0,INDEX(Results!$B$2:$O$282,MATCH(DummyStandings!$E16&amp;DummyStandings!H$13,Results!$K$2:$K$282,0),3)-INDEX(Results!$B$2:$O$282,MATCH(DummyStandings!$E16&amp;DummyStandings!H$13,Results!$K$2:$K$282,0),4))</f>
        <v>-17</v>
      </c>
      <c r="I16" s="137">
        <f t="shared" si="44"/>
        <v>0</v>
      </c>
      <c r="J16" s="34">
        <f>IF(J$13=$E16,0,IF(AND(INDEX(Results!$B$2:$AB$282,MATCH(DummyStandings!J$13&amp;DummyStandings!$E16,Results!$K$2:$K$282,0),11)=DummyStandings!$E16,INDEX(Results!$B$2:$AB$282,MATCH(DummyStandings!$E16&amp;DummyStandings!J$13,Results!$K$2:$K$282,0),11)=DummyStandings!$E16),2,IF(INDEX(Results!$B$2:$AB$282,MATCH(DummyStandings!J$13&amp;DummyStandings!$E16,Results!$K$2:$K$282,0),11)=DummyStandings!$E16,1,IF(INDEX(Results!$B$2:$AB$282,MATCH(DummyStandings!$E16&amp;DummyStandings!J$13,Results!$K$2:$K$282,0),11)=DummyStandings!$E16,1,0))))</f>
        <v>2</v>
      </c>
      <c r="K16" s="35">
        <f>IF(K$13=$E16,0,INDEX(Results!$B$2:$O$282,MATCH(DummyStandings!$E16&amp;DummyStandings!K$13,Results!$K$2:$K$282,0),3)-INDEX(Results!$B$2:$O$282,MATCH(DummyStandings!$E16&amp;DummyStandings!K$13,Results!$K$2:$K$282,0),4))</f>
        <v>14</v>
      </c>
      <c r="L16" s="137">
        <f t="shared" si="45"/>
        <v>0</v>
      </c>
      <c r="M16" s="34">
        <f>IF(M$13=$E16,0,IF(AND(INDEX(Results!$B$2:$AB$282,MATCH(DummyStandings!M$13&amp;DummyStandings!$E16,Results!$K$2:$K$282,0),11)=DummyStandings!$E16,INDEX(Results!$B$2:$AB$282,MATCH(DummyStandings!$E16&amp;DummyStandings!M$13,Results!$K$2:$K$282,0),11)=DummyStandings!$E16),2,IF(INDEX(Results!$B$2:$AB$282,MATCH(DummyStandings!M$13&amp;DummyStandings!$E16,Results!$K$2:$K$282,0),11)=DummyStandings!$E16,1,IF(INDEX(Results!$B$2:$AB$282,MATCH(DummyStandings!$E16&amp;DummyStandings!M$13,Results!$K$2:$K$282,0),11)=DummyStandings!$E16,1,0))))</f>
        <v>0</v>
      </c>
      <c r="N16" s="35">
        <f>IF(N$13=$E16,0,INDEX(Results!$B$2:$O$282,MATCH(DummyStandings!$E16&amp;DummyStandings!N$13,Results!$K$2:$K$282,0),3)-INDEX(Results!$B$2:$O$282,MATCH(DummyStandings!$E16&amp;DummyStandings!N$13,Results!$K$2:$K$282,0),4))</f>
        <v>0</v>
      </c>
      <c r="O16" s="137">
        <f t="shared" si="46"/>
        <v>0</v>
      </c>
      <c r="P16" s="34">
        <f>IF(P$13=$E16,0,IF(AND(INDEX(Results!$B$2:$AB$282,MATCH(DummyStandings!P$13&amp;DummyStandings!$E16,Results!$K$2:$K$282,0),11)=DummyStandings!$E16,INDEX(Results!$B$2:$AB$282,MATCH(DummyStandings!$E16&amp;DummyStandings!P$13,Results!$K$2:$K$282,0),11)=DummyStandings!$E16),2,IF(INDEX(Results!$B$2:$AB$282,MATCH(DummyStandings!P$13&amp;DummyStandings!$E16,Results!$K$2:$K$282,0),11)=DummyStandings!$E16,1,IF(INDEX(Results!$B$2:$AB$282,MATCH(DummyStandings!$E16&amp;DummyStandings!P$13,Results!$K$2:$K$282,0),11)=DummyStandings!$E16,1,0))))</f>
        <v>2</v>
      </c>
      <c r="Q16" s="35">
        <f>IF(Q$13=$E16,0,INDEX(Results!$B$2:$O$282,MATCH(DummyStandings!$E16&amp;DummyStandings!Q$13,Results!$K$2:$K$282,0),3)-INDEX(Results!$B$2:$O$282,MATCH(DummyStandings!$E16&amp;DummyStandings!Q$13,Results!$K$2:$K$282,0),4))</f>
        <v>27</v>
      </c>
      <c r="R16" s="137">
        <f t="shared" si="47"/>
        <v>0</v>
      </c>
      <c r="S16" s="34">
        <f>IF(S$13=$E16,0,IF(AND(INDEX(Results!$B$2:$AB$282,MATCH(DummyStandings!S$13&amp;DummyStandings!$E16,Results!$K$2:$K$282,0),11)=DummyStandings!$E16,INDEX(Results!$B$2:$AB$282,MATCH(DummyStandings!$E16&amp;DummyStandings!S$13,Results!$K$2:$K$282,0),11)=DummyStandings!$E16),2,IF(INDEX(Results!$B$2:$AB$282,MATCH(DummyStandings!S$13&amp;DummyStandings!$E16,Results!$K$2:$K$282,0),11)=DummyStandings!$E16,1,IF(INDEX(Results!$B$2:$AB$282,MATCH(DummyStandings!$E16&amp;DummyStandings!S$13,Results!$K$2:$K$282,0),11)=DummyStandings!$E16,1,0))))</f>
        <v>2</v>
      </c>
      <c r="T16" s="35">
        <f>IF(T$13=$E16,0,INDEX(Results!$B$2:$O$282,MATCH(DummyStandings!$E16&amp;DummyStandings!T$13,Results!$K$2:$K$282,0),3)-INDEX(Results!$B$2:$O$282,MATCH(DummyStandings!$E16&amp;DummyStandings!T$13,Results!$K$2:$K$282,0),4))</f>
        <v>38</v>
      </c>
      <c r="U16" s="137">
        <f t="shared" si="48"/>
        <v>0</v>
      </c>
      <c r="V16" s="34">
        <f>IF(V$13=$E16,0,IF(AND(INDEX(Results!$B$2:$AB$282,MATCH(DummyStandings!V$13&amp;DummyStandings!$E16,Results!$K$2:$K$282,0),11)=DummyStandings!$E16,INDEX(Results!$B$2:$AB$282,MATCH(DummyStandings!$E16&amp;DummyStandings!V$13,Results!$K$2:$K$282,0),11)=DummyStandings!$E16),2,IF(INDEX(Results!$B$2:$AB$282,MATCH(DummyStandings!V$13&amp;DummyStandings!$E16,Results!$K$2:$K$282,0),11)=DummyStandings!$E16,1,IF(INDEX(Results!$B$2:$AB$282,MATCH(DummyStandings!$E16&amp;DummyStandings!V$13,Results!$K$2:$K$282,0),11)=DummyStandings!$E16,1,0))))</f>
        <v>2</v>
      </c>
      <c r="W16" s="35">
        <f>IF(W$13=$E16,0,INDEX(Results!$B$2:$O$282,MATCH(DummyStandings!$E16&amp;DummyStandings!W$13,Results!$K$2:$K$282,0),3)-INDEX(Results!$B$2:$O$282,MATCH(DummyStandings!$E16&amp;DummyStandings!W$13,Results!$K$2:$K$282,0),4))</f>
        <v>30</v>
      </c>
      <c r="X16" s="137">
        <f t="shared" si="49"/>
        <v>0</v>
      </c>
      <c r="Y16" s="34">
        <f>IF(Y$13=$E16,0,IF(AND(INDEX(Results!$B$2:$AB$282,MATCH(DummyStandings!Y$13&amp;DummyStandings!$E16,Results!$K$2:$K$282,0),11)=DummyStandings!$E16,INDEX(Results!$B$2:$AB$282,MATCH(DummyStandings!$E16&amp;DummyStandings!Y$13,Results!$K$2:$K$282,0),11)=DummyStandings!$E16),2,IF(INDEX(Results!$B$2:$AB$282,MATCH(DummyStandings!Y$13&amp;DummyStandings!$E16,Results!$K$2:$K$282,0),11)=DummyStandings!$E16,1,IF(INDEX(Results!$B$2:$AB$282,MATCH(DummyStandings!$E16&amp;DummyStandings!Y$13,Results!$K$2:$K$282,0),11)=DummyStandings!$E16,1,0))))</f>
        <v>2</v>
      </c>
      <c r="Z16" s="35">
        <f>IF(Z$13=$E16,0,INDEX(Results!$B$2:$O$282,MATCH(DummyStandings!$E16&amp;DummyStandings!Z$13,Results!$K$2:$K$282,0),3)-INDEX(Results!$B$2:$O$282,MATCH(DummyStandings!$E16&amp;DummyStandings!Z$13,Results!$K$2:$K$282,0),4))</f>
        <v>18</v>
      </c>
      <c r="AA16" s="137">
        <f t="shared" si="50"/>
        <v>0</v>
      </c>
      <c r="AB16" s="34">
        <f>IF(AB$13=$E16,0,IF(AND(INDEX(Results!$B$2:$AB$282,MATCH(DummyStandings!AB$13&amp;DummyStandings!$E16,Results!$K$2:$K$282,0),11)=DummyStandings!$E16,INDEX(Results!$B$2:$AB$282,MATCH(DummyStandings!$E16&amp;DummyStandings!AB$13,Results!$K$2:$K$282,0),11)=DummyStandings!$E16),2,IF(INDEX(Results!$B$2:$AB$282,MATCH(DummyStandings!AB$13&amp;DummyStandings!$E16,Results!$K$2:$K$282,0),11)=DummyStandings!$E16,1,IF(INDEX(Results!$B$2:$AB$282,MATCH(DummyStandings!$E16&amp;DummyStandings!AB$13,Results!$K$2:$K$282,0),11)=DummyStandings!$E16,1,0))))</f>
        <v>2</v>
      </c>
      <c r="AC16" s="35">
        <f>IF(AC$13=$E16,0,INDEX(Results!$B$2:$O$282,MATCH(DummyStandings!$E16&amp;DummyStandings!AC$13,Results!$K$2:$K$282,0),3)-INDEX(Results!$B$2:$O$282,MATCH(DummyStandings!$E16&amp;DummyStandings!AC$13,Results!$K$2:$K$282,0),4))</f>
        <v>13</v>
      </c>
      <c r="AD16" s="132">
        <f t="shared" si="60"/>
        <v>1</v>
      </c>
      <c r="AE16" s="137">
        <f t="shared" si="60"/>
        <v>-17</v>
      </c>
      <c r="AF16" s="137">
        <f t="shared" si="51"/>
        <v>2</v>
      </c>
      <c r="AG16" s="132">
        <f t="shared" si="19"/>
        <v>0</v>
      </c>
      <c r="AH16" s="34">
        <f t="shared" si="52"/>
        <v>1</v>
      </c>
      <c r="AI16" s="137">
        <f t="shared" si="53"/>
        <v>0</v>
      </c>
      <c r="AJ16" s="137">
        <f t="shared" si="54"/>
        <v>0</v>
      </c>
      <c r="AK16" s="132">
        <f t="shared" si="55"/>
        <v>0</v>
      </c>
      <c r="AL16" s="132">
        <f t="shared" si="20"/>
        <v>0</v>
      </c>
      <c r="AM16" s="137">
        <f t="shared" si="21"/>
        <v>14</v>
      </c>
      <c r="AN16" s="34">
        <f t="shared" si="22"/>
        <v>13</v>
      </c>
      <c r="AO16" s="34">
        <f t="shared" si="23"/>
        <v>1</v>
      </c>
      <c r="AP16" s="34">
        <f t="shared" si="24"/>
        <v>356</v>
      </c>
      <c r="AQ16" s="34">
        <f t="shared" si="25"/>
        <v>132</v>
      </c>
      <c r="AR16" s="34">
        <f t="shared" si="26"/>
        <v>224</v>
      </c>
      <c r="AS16" s="137">
        <f t="shared" si="27"/>
        <v>7</v>
      </c>
      <c r="AT16" s="34">
        <f>SUMPRODUCT((Results!$C$3:$C$282=DummyStandings!$C16)*(Results!$D$3:$D$282&gt;Results!$E$3:$E$282))</f>
        <v>6</v>
      </c>
      <c r="AU16" s="34">
        <f>SUMPRODUCT((Results!$C$3:$C$282=DummyStandings!$C16)*(Results!$D$3:$D$282&lt;Results!$E$3:$E$282))</f>
        <v>1</v>
      </c>
      <c r="AV16" s="34">
        <f>SUMIF(Results!$C$3:$C$282,$C16,Results!$D$3:$D$282)</f>
        <v>189</v>
      </c>
      <c r="AW16" s="34">
        <f>SUMIF(Results!$C$3:$C$282,$C16,Results!$E$3:$E$282)</f>
        <v>66</v>
      </c>
      <c r="AX16" s="34">
        <f t="shared" si="28"/>
        <v>123</v>
      </c>
      <c r="AY16" s="137">
        <f t="shared" si="29"/>
        <v>7</v>
      </c>
      <c r="AZ16" s="34">
        <f>SUMPRODUCT((Results!$F$3:$F$282=DummyStandings!$C16)*(Results!$E$3:$E$282&gt;Results!$D$3:$D$282))</f>
        <v>7</v>
      </c>
      <c r="BA16" s="34">
        <f>SUMPRODUCT((Results!$F$3:$F$282=DummyStandings!$C16)*(Results!$E$3:$E$282&lt;Results!$D$3:$D$282))</f>
        <v>0</v>
      </c>
      <c r="BB16" s="34">
        <f>SUMIF(Results!$F$3:$F$282,$C16,Results!$E$3:$E$282)</f>
        <v>167</v>
      </c>
      <c r="BC16" s="34">
        <f>SUMIF(Results!$F$3:$F$282,$C16,Results!$D$3:$D$282)</f>
        <v>66</v>
      </c>
      <c r="BD16" s="35">
        <f t="shared" si="30"/>
        <v>101</v>
      </c>
      <c r="BE16" s="34">
        <f>INDEX(Teams!$B$5:$H$45,MATCH(DummyStandings!E16,Teams!$G$5:$G$45,0),7)</f>
        <v>7</v>
      </c>
      <c r="BF16" s="272">
        <f t="shared" si="40"/>
        <v>0.9571428571428571</v>
      </c>
      <c r="BG16" s="275">
        <f t="shared" si="31"/>
        <v>0.3385714285714286</v>
      </c>
      <c r="BH16" s="275">
        <f t="shared" si="41"/>
        <v>0.7509523809523809</v>
      </c>
      <c r="BI16" s="34">
        <v>1</v>
      </c>
      <c r="BJ16" s="132">
        <f t="shared" si="32"/>
        <v>1</v>
      </c>
      <c r="BK16" s="35">
        <f t="shared" si="33"/>
        <v>0</v>
      </c>
      <c r="BL16" s="35">
        <f t="shared" si="34"/>
        <v>1</v>
      </c>
      <c r="BM16" s="35">
        <f t="shared" si="35"/>
        <v>0</v>
      </c>
      <c r="BN16" s="35">
        <f t="shared" si="36"/>
        <v>0</v>
      </c>
      <c r="BO16" s="35">
        <f t="shared" si="37"/>
        <v>0</v>
      </c>
      <c r="BP16" s="137">
        <f t="shared" si="38"/>
        <v>0</v>
      </c>
      <c r="BQ16" s="132">
        <f t="shared" si="56"/>
        <v>3</v>
      </c>
      <c r="BR16" s="137">
        <f t="shared" si="57"/>
        <v>0</v>
      </c>
      <c r="BS16" s="132">
        <f t="shared" si="58"/>
        <v>0</v>
      </c>
      <c r="BT16" s="35">
        <f t="shared" si="39"/>
        <v>2</v>
      </c>
    </row>
    <row r="17" spans="2:72" ht="12.75">
      <c r="B17" s="132">
        <f t="shared" si="59"/>
        <v>21</v>
      </c>
      <c r="C17" s="161" t="str">
        <f>Teams!B17</f>
        <v>Red State University</v>
      </c>
      <c r="D17" s="137" t="str">
        <f>INDEX(Teams!$B$5:$F$45,MATCH(DummyStandings!$C17,Teams!$B$5:$B$45,0),COLUMN()+1)</f>
        <v>Horizon</v>
      </c>
      <c r="E17" s="165" t="str">
        <f>INDEX(Teams!$B$5:$H$45,MATCH(DummyStandings!$C17,Teams!$B$5:$B$45,0),6)</f>
        <v>RSTU</v>
      </c>
      <c r="F17" s="137">
        <f t="shared" si="43"/>
        <v>0</v>
      </c>
      <c r="G17" s="34">
        <f>IF(G$13=$E17,0,IF(AND(INDEX(Results!$B$2:$AB$282,MATCH(DummyStandings!G$13&amp;DummyStandings!$E17,Results!$K$2:$K$282,0),11)=DummyStandings!$E17,INDEX(Results!$B$2:$AB$282,MATCH(DummyStandings!$E17&amp;DummyStandings!G$13,Results!$K$2:$K$282,0),11)=DummyStandings!$E17),2,IF(INDEX(Results!$B$2:$AB$282,MATCH(DummyStandings!G$13&amp;DummyStandings!$E17,Results!$K$2:$K$282,0),11)=DummyStandings!$E17,1,IF(INDEX(Results!$B$2:$AB$282,MATCH(DummyStandings!$E17&amp;DummyStandings!G$13,Results!$K$2:$K$282,0),11)=DummyStandings!$E17,1,0))))</f>
        <v>0</v>
      </c>
      <c r="H17" s="35">
        <f>IF(H$13=$E17,0,INDEX(Results!$B$2:$O$282,MATCH(DummyStandings!$E17&amp;DummyStandings!H$13,Results!$K$2:$K$282,0),3)-INDEX(Results!$B$2:$O$282,MATCH(DummyStandings!$E17&amp;DummyStandings!H$13,Results!$K$2:$K$282,0),4))</f>
        <v>-2</v>
      </c>
      <c r="I17" s="137">
        <f t="shared" si="44"/>
        <v>1</v>
      </c>
      <c r="J17" s="34">
        <f>IF(J$13=$E17,0,IF(AND(INDEX(Results!$B$2:$AB$282,MATCH(DummyStandings!J$13&amp;DummyStandings!$E17,Results!$K$2:$K$282,0),11)=DummyStandings!$E17,INDEX(Results!$B$2:$AB$282,MATCH(DummyStandings!$E17&amp;DummyStandings!J$13,Results!$K$2:$K$282,0),11)=DummyStandings!$E17),2,IF(INDEX(Results!$B$2:$AB$282,MATCH(DummyStandings!J$13&amp;DummyStandings!$E17,Results!$K$2:$K$282,0),11)=DummyStandings!$E17,1,IF(INDEX(Results!$B$2:$AB$282,MATCH(DummyStandings!$E17&amp;DummyStandings!J$13,Results!$K$2:$K$282,0),11)=DummyStandings!$E17,1,0))))</f>
        <v>1</v>
      </c>
      <c r="K17" s="35">
        <f>IF(K$13=$E17,0,INDEX(Results!$B$2:$O$282,MATCH(DummyStandings!$E17&amp;DummyStandings!K$13,Results!$K$2:$K$282,0),3)-INDEX(Results!$B$2:$O$282,MATCH(DummyStandings!$E17&amp;DummyStandings!K$13,Results!$K$2:$K$282,0),4))</f>
        <v>12</v>
      </c>
      <c r="L17" s="137">
        <f t="shared" si="45"/>
        <v>0</v>
      </c>
      <c r="M17" s="34">
        <f>IF(M$13=$E17,0,IF(AND(INDEX(Results!$B$2:$AB$282,MATCH(DummyStandings!M$13&amp;DummyStandings!$E17,Results!$K$2:$K$282,0),11)=DummyStandings!$E17,INDEX(Results!$B$2:$AB$282,MATCH(DummyStandings!$E17&amp;DummyStandings!M$13,Results!$K$2:$K$282,0),11)=DummyStandings!$E17),2,IF(INDEX(Results!$B$2:$AB$282,MATCH(DummyStandings!M$13&amp;DummyStandings!$E17,Results!$K$2:$K$282,0),11)=DummyStandings!$E17,1,IF(INDEX(Results!$B$2:$AB$282,MATCH(DummyStandings!$E17&amp;DummyStandings!M$13,Results!$K$2:$K$282,0),11)=DummyStandings!$E17,1,0))))</f>
        <v>0</v>
      </c>
      <c r="N17" s="35">
        <f>IF(N$13=$E17,0,INDEX(Results!$B$2:$O$282,MATCH(DummyStandings!$E17&amp;DummyStandings!N$13,Results!$K$2:$K$282,0),3)-INDEX(Results!$B$2:$O$282,MATCH(DummyStandings!$E17&amp;DummyStandings!N$13,Results!$K$2:$K$282,0),4))</f>
        <v>-30</v>
      </c>
      <c r="O17" s="137">
        <f t="shared" si="46"/>
        <v>0</v>
      </c>
      <c r="P17" s="34">
        <f>IF(P$13=$E17,0,IF(AND(INDEX(Results!$B$2:$AB$282,MATCH(DummyStandings!P$13&amp;DummyStandings!$E17,Results!$K$2:$K$282,0),11)=DummyStandings!$E17,INDEX(Results!$B$2:$AB$282,MATCH(DummyStandings!$E17&amp;DummyStandings!P$13,Results!$K$2:$K$282,0),11)=DummyStandings!$E17),2,IF(INDEX(Results!$B$2:$AB$282,MATCH(DummyStandings!P$13&amp;DummyStandings!$E17,Results!$K$2:$K$282,0),11)=DummyStandings!$E17,1,IF(INDEX(Results!$B$2:$AB$282,MATCH(DummyStandings!$E17&amp;DummyStandings!P$13,Results!$K$2:$K$282,0),11)=DummyStandings!$E17,1,0))))</f>
        <v>0</v>
      </c>
      <c r="Q17" s="35">
        <f>IF(Q$13=$E17,0,INDEX(Results!$B$2:$O$282,MATCH(DummyStandings!$E17&amp;DummyStandings!Q$13,Results!$K$2:$K$282,0),3)-INDEX(Results!$B$2:$O$282,MATCH(DummyStandings!$E17&amp;DummyStandings!Q$13,Results!$K$2:$K$282,0),4))</f>
        <v>0</v>
      </c>
      <c r="R17" s="137">
        <f t="shared" si="47"/>
        <v>0</v>
      </c>
      <c r="S17" s="34">
        <f>IF(S$13=$E17,0,IF(AND(INDEX(Results!$B$2:$AB$282,MATCH(DummyStandings!S$13&amp;DummyStandings!$E17,Results!$K$2:$K$282,0),11)=DummyStandings!$E17,INDEX(Results!$B$2:$AB$282,MATCH(DummyStandings!$E17&amp;DummyStandings!S$13,Results!$K$2:$K$282,0),11)=DummyStandings!$E17),2,IF(INDEX(Results!$B$2:$AB$282,MATCH(DummyStandings!S$13&amp;DummyStandings!$E17,Results!$K$2:$K$282,0),11)=DummyStandings!$E17,1,IF(INDEX(Results!$B$2:$AB$282,MATCH(DummyStandings!$E17&amp;DummyStandings!S$13,Results!$K$2:$K$282,0),11)=DummyStandings!$E17,1,0))))</f>
        <v>1</v>
      </c>
      <c r="T17" s="35">
        <f>IF(T$13=$E17,0,INDEX(Results!$B$2:$O$282,MATCH(DummyStandings!$E17&amp;DummyStandings!T$13,Results!$K$2:$K$282,0),3)-INDEX(Results!$B$2:$O$282,MATCH(DummyStandings!$E17&amp;DummyStandings!T$13,Results!$K$2:$K$282,0),4))</f>
        <v>17</v>
      </c>
      <c r="U17" s="137">
        <f t="shared" si="48"/>
        <v>0</v>
      </c>
      <c r="V17" s="34">
        <f>IF(V$13=$E17,0,IF(AND(INDEX(Results!$B$2:$AB$282,MATCH(DummyStandings!V$13&amp;DummyStandings!$E17,Results!$K$2:$K$282,0),11)=DummyStandings!$E17,INDEX(Results!$B$2:$AB$282,MATCH(DummyStandings!$E17&amp;DummyStandings!V$13,Results!$K$2:$K$282,0),11)=DummyStandings!$E17),2,IF(INDEX(Results!$B$2:$AB$282,MATCH(DummyStandings!V$13&amp;DummyStandings!$E17,Results!$K$2:$K$282,0),11)=DummyStandings!$E17,1,IF(INDEX(Results!$B$2:$AB$282,MATCH(DummyStandings!$E17&amp;DummyStandings!V$13,Results!$K$2:$K$282,0),11)=DummyStandings!$E17,1,0))))</f>
        <v>1</v>
      </c>
      <c r="W17" s="35">
        <f>IF(W$13=$E17,0,INDEX(Results!$B$2:$O$282,MATCH(DummyStandings!$E17&amp;DummyStandings!W$13,Results!$K$2:$K$282,0),3)-INDEX(Results!$B$2:$O$282,MATCH(DummyStandings!$E17&amp;DummyStandings!W$13,Results!$K$2:$K$282,0),4))</f>
        <v>9</v>
      </c>
      <c r="X17" s="137">
        <f t="shared" si="49"/>
        <v>0</v>
      </c>
      <c r="Y17" s="34">
        <f>IF(Y$13=$E17,0,IF(AND(INDEX(Results!$B$2:$AB$282,MATCH(DummyStandings!Y$13&amp;DummyStandings!$E17,Results!$K$2:$K$282,0),11)=DummyStandings!$E17,INDEX(Results!$B$2:$AB$282,MATCH(DummyStandings!$E17&amp;DummyStandings!Y$13,Results!$K$2:$K$282,0),11)=DummyStandings!$E17),2,IF(INDEX(Results!$B$2:$AB$282,MATCH(DummyStandings!Y$13&amp;DummyStandings!$E17,Results!$K$2:$K$282,0),11)=DummyStandings!$E17,1,IF(INDEX(Results!$B$2:$AB$282,MATCH(DummyStandings!$E17&amp;DummyStandings!Y$13,Results!$K$2:$K$282,0),11)=DummyStandings!$E17,1,0))))</f>
        <v>2</v>
      </c>
      <c r="Z17" s="35">
        <f>IF(Z$13=$E17,0,INDEX(Results!$B$2:$O$282,MATCH(DummyStandings!$E17&amp;DummyStandings!Z$13,Results!$K$2:$K$282,0),3)-INDEX(Results!$B$2:$O$282,MATCH(DummyStandings!$E17&amp;DummyStandings!Z$13,Results!$K$2:$K$282,0),4))</f>
        <v>3</v>
      </c>
      <c r="AA17" s="137">
        <f t="shared" si="50"/>
        <v>0</v>
      </c>
      <c r="AB17" s="34">
        <f>IF(AB$13=$E17,0,IF(AND(INDEX(Results!$B$2:$AB$282,MATCH(DummyStandings!AB$13&amp;DummyStandings!$E17,Results!$K$2:$K$282,0),11)=DummyStandings!$E17,INDEX(Results!$B$2:$AB$282,MATCH(DummyStandings!$E17&amp;DummyStandings!AB$13,Results!$K$2:$K$282,0),11)=DummyStandings!$E17),2,IF(INDEX(Results!$B$2:$AB$282,MATCH(DummyStandings!AB$13&amp;DummyStandings!$E17,Results!$K$2:$K$282,0),11)=DummyStandings!$E17,1,IF(INDEX(Results!$B$2:$AB$282,MATCH(DummyStandings!$E17&amp;DummyStandings!AB$13,Results!$K$2:$K$282,0),11)=DummyStandings!$E17,1,0))))</f>
        <v>1</v>
      </c>
      <c r="AC17" s="35">
        <f>IF(AC$13=$E17,0,INDEX(Results!$B$2:$O$282,MATCH(DummyStandings!$E17&amp;DummyStandings!AC$13,Results!$K$2:$K$282,0),3)-INDEX(Results!$B$2:$O$282,MATCH(DummyStandings!$E17&amp;DummyStandings!AC$13,Results!$K$2:$K$282,0),4))</f>
        <v>3</v>
      </c>
      <c r="AD17" s="132">
        <f t="shared" si="60"/>
        <v>1</v>
      </c>
      <c r="AE17" s="137">
        <f t="shared" si="60"/>
        <v>12</v>
      </c>
      <c r="AF17" s="137">
        <f t="shared" si="51"/>
        <v>21</v>
      </c>
      <c r="AG17" s="132">
        <f t="shared" si="19"/>
        <v>0</v>
      </c>
      <c r="AH17" s="34">
        <f t="shared" si="52"/>
        <v>0</v>
      </c>
      <c r="AI17" s="137">
        <f t="shared" si="53"/>
        <v>0</v>
      </c>
      <c r="AJ17" s="137">
        <f t="shared" si="54"/>
        <v>0</v>
      </c>
      <c r="AK17" s="132">
        <f t="shared" si="55"/>
        <v>0</v>
      </c>
      <c r="AL17" s="132">
        <f t="shared" si="20"/>
        <v>0</v>
      </c>
      <c r="AM17" s="137">
        <f t="shared" si="21"/>
        <v>14</v>
      </c>
      <c r="AN17" s="34">
        <f t="shared" si="22"/>
        <v>6</v>
      </c>
      <c r="AO17" s="34">
        <f t="shared" si="23"/>
        <v>8</v>
      </c>
      <c r="AP17" s="34">
        <f t="shared" si="24"/>
        <v>160</v>
      </c>
      <c r="AQ17" s="34">
        <f t="shared" si="25"/>
        <v>211</v>
      </c>
      <c r="AR17" s="34">
        <f t="shared" si="26"/>
        <v>-51</v>
      </c>
      <c r="AS17" s="137">
        <f t="shared" si="27"/>
        <v>7</v>
      </c>
      <c r="AT17" s="34">
        <f>SUMPRODUCT((Results!$C$3:$C$282=DummyStandings!$C17)*(Results!$D$3:$D$282&gt;Results!$E$3:$E$282))</f>
        <v>5</v>
      </c>
      <c r="AU17" s="34">
        <f>SUMPRODUCT((Results!$C$3:$C$282=DummyStandings!$C17)*(Results!$D$3:$D$282&lt;Results!$E$3:$E$282))</f>
        <v>2</v>
      </c>
      <c r="AV17" s="34">
        <f>SUMIF(Results!$C$3:$C$282,$C17,Results!$D$3:$D$282)</f>
        <v>88</v>
      </c>
      <c r="AW17" s="34">
        <f>SUMIF(Results!$C$3:$C$282,$C17,Results!$E$3:$E$282)</f>
        <v>76</v>
      </c>
      <c r="AX17" s="34">
        <f t="shared" si="28"/>
        <v>12</v>
      </c>
      <c r="AY17" s="137">
        <f t="shared" si="29"/>
        <v>7</v>
      </c>
      <c r="AZ17" s="34">
        <f>SUMPRODUCT((Results!$F$3:$F$282=DummyStandings!$C17)*(Results!$E$3:$E$282&gt;Results!$D$3:$D$282))</f>
        <v>1</v>
      </c>
      <c r="BA17" s="34">
        <f>SUMPRODUCT((Results!$F$3:$F$282=DummyStandings!$C17)*(Results!$E$3:$E$282&lt;Results!$D$3:$D$282))</f>
        <v>6</v>
      </c>
      <c r="BB17" s="34">
        <f>SUMIF(Results!$F$3:$F$282,$C17,Results!$E$3:$E$282)</f>
        <v>72</v>
      </c>
      <c r="BC17" s="34">
        <f>SUMIF(Results!$F$3:$F$282,$C17,Results!$D$3:$D$282)</f>
        <v>135</v>
      </c>
      <c r="BD17" s="35">
        <f t="shared" si="30"/>
        <v>-63</v>
      </c>
      <c r="BE17" s="34">
        <f>INDEX(Teams!$B$5:$H$45,MATCH(DummyStandings!E17,Teams!$G$5:$G$45,0),7)</f>
        <v>27</v>
      </c>
      <c r="BF17" s="272">
        <f t="shared" si="40"/>
        <v>0.31428571428571433</v>
      </c>
      <c r="BG17" s="275">
        <f t="shared" si="31"/>
        <v>0.40285714285714286</v>
      </c>
      <c r="BH17" s="275">
        <f t="shared" si="41"/>
        <v>0.34380952380952384</v>
      </c>
      <c r="BI17" s="34">
        <v>1</v>
      </c>
      <c r="BJ17" s="132">
        <f t="shared" si="32"/>
        <v>28</v>
      </c>
      <c r="BK17" s="35">
        <f t="shared" si="33"/>
        <v>0</v>
      </c>
      <c r="BL17" s="35">
        <f t="shared" si="34"/>
        <v>0</v>
      </c>
      <c r="BM17" s="35">
        <f t="shared" si="35"/>
        <v>0</v>
      </c>
      <c r="BN17" s="35">
        <f t="shared" si="36"/>
        <v>0</v>
      </c>
      <c r="BO17" s="35">
        <f t="shared" si="37"/>
        <v>0</v>
      </c>
      <c r="BP17" s="137">
        <f t="shared" si="38"/>
        <v>0</v>
      </c>
      <c r="BQ17" s="132">
        <f t="shared" si="56"/>
        <v>29</v>
      </c>
      <c r="BR17" s="137">
        <f t="shared" si="57"/>
        <v>-8</v>
      </c>
      <c r="BS17" s="132">
        <f t="shared" si="58"/>
        <v>1</v>
      </c>
      <c r="BT17" s="35">
        <f t="shared" si="39"/>
        <v>22</v>
      </c>
    </row>
    <row r="18" spans="2:72" ht="12.75">
      <c r="B18" s="132">
        <f t="shared" si="59"/>
        <v>31</v>
      </c>
      <c r="C18" s="161" t="str">
        <f>Teams!B18</f>
        <v>Stoneshore College</v>
      </c>
      <c r="D18" s="137" t="str">
        <f>INDEX(Teams!$B$5:$F$45,MATCH(DummyStandings!$C18,Teams!$B$5:$B$45,0),COLUMN()+1)</f>
        <v>Horizon</v>
      </c>
      <c r="E18" s="165" t="str">
        <f>INDEX(Teams!$B$5:$H$45,MATCH(DummyStandings!$C18,Teams!$B$5:$B$45,0),6)</f>
        <v>STON</v>
      </c>
      <c r="F18" s="137">
        <f t="shared" si="43"/>
        <v>0</v>
      </c>
      <c r="G18" s="34">
        <f>IF(G$13=$E18,0,IF(AND(INDEX(Results!$B$2:$AB$282,MATCH(DummyStandings!G$13&amp;DummyStandings!$E18,Results!$K$2:$K$282,0),11)=DummyStandings!$E18,INDEX(Results!$B$2:$AB$282,MATCH(DummyStandings!$E18&amp;DummyStandings!G$13,Results!$K$2:$K$282,0),11)=DummyStandings!$E18),2,IF(INDEX(Results!$B$2:$AB$282,MATCH(DummyStandings!G$13&amp;DummyStandings!$E18,Results!$K$2:$K$282,0),11)=DummyStandings!$E18,1,IF(INDEX(Results!$B$2:$AB$282,MATCH(DummyStandings!$E18&amp;DummyStandings!G$13,Results!$K$2:$K$282,0),11)=DummyStandings!$E18,1,0))))</f>
        <v>0</v>
      </c>
      <c r="H18" s="35">
        <f>IF(H$13=$E18,0,INDEX(Results!$B$2:$O$282,MATCH(DummyStandings!$E18&amp;DummyStandings!H$13,Results!$K$2:$K$282,0),3)-INDEX(Results!$B$2:$O$282,MATCH(DummyStandings!$E18&amp;DummyStandings!H$13,Results!$K$2:$K$282,0),4))</f>
        <v>-10</v>
      </c>
      <c r="I18" s="137">
        <f t="shared" si="44"/>
        <v>0</v>
      </c>
      <c r="J18" s="34">
        <f>IF(J$13=$E18,0,IF(AND(INDEX(Results!$B$2:$AB$282,MATCH(DummyStandings!J$13&amp;DummyStandings!$E18,Results!$K$2:$K$282,0),11)=DummyStandings!$E18,INDEX(Results!$B$2:$AB$282,MATCH(DummyStandings!$E18&amp;DummyStandings!J$13,Results!$K$2:$K$282,0),11)=DummyStandings!$E18),2,IF(INDEX(Results!$B$2:$AB$282,MATCH(DummyStandings!J$13&amp;DummyStandings!$E18,Results!$K$2:$K$282,0),11)=DummyStandings!$E18,1,IF(INDEX(Results!$B$2:$AB$282,MATCH(DummyStandings!$E18&amp;DummyStandings!J$13,Results!$K$2:$K$282,0),11)=DummyStandings!$E18,1,0))))</f>
        <v>1</v>
      </c>
      <c r="K18" s="35">
        <f>IF(K$13=$E18,0,INDEX(Results!$B$2:$O$282,MATCH(DummyStandings!$E18&amp;DummyStandings!K$13,Results!$K$2:$K$282,0),3)-INDEX(Results!$B$2:$O$282,MATCH(DummyStandings!$E18&amp;DummyStandings!K$13,Results!$K$2:$K$282,0),4))</f>
        <v>19</v>
      </c>
      <c r="L18" s="137">
        <f t="shared" si="45"/>
        <v>0</v>
      </c>
      <c r="M18" s="34">
        <f>IF(M$13=$E18,0,IF(AND(INDEX(Results!$B$2:$AB$282,MATCH(DummyStandings!M$13&amp;DummyStandings!$E18,Results!$K$2:$K$282,0),11)=DummyStandings!$E18,INDEX(Results!$B$2:$AB$282,MATCH(DummyStandings!$E18&amp;DummyStandings!M$13,Results!$K$2:$K$282,0),11)=DummyStandings!$E18),2,IF(INDEX(Results!$B$2:$AB$282,MATCH(DummyStandings!M$13&amp;DummyStandings!$E18,Results!$K$2:$K$282,0),11)=DummyStandings!$E18,1,IF(INDEX(Results!$B$2:$AB$282,MATCH(DummyStandings!$E18&amp;DummyStandings!M$13,Results!$K$2:$K$282,0),11)=DummyStandings!$E18,1,0))))</f>
        <v>0</v>
      </c>
      <c r="N18" s="35">
        <f>IF(N$13=$E18,0,INDEX(Results!$B$2:$O$282,MATCH(DummyStandings!$E18&amp;DummyStandings!N$13,Results!$K$2:$K$282,0),3)-INDEX(Results!$B$2:$O$282,MATCH(DummyStandings!$E18&amp;DummyStandings!N$13,Results!$K$2:$K$282,0),4))</f>
        <v>-26</v>
      </c>
      <c r="O18" s="137">
        <f t="shared" si="46"/>
        <v>0</v>
      </c>
      <c r="P18" s="34">
        <f>IF(P$13=$E18,0,IF(AND(INDEX(Results!$B$2:$AB$282,MATCH(DummyStandings!P$13&amp;DummyStandings!$E18,Results!$K$2:$K$282,0),11)=DummyStandings!$E18,INDEX(Results!$B$2:$AB$282,MATCH(DummyStandings!$E18&amp;DummyStandings!P$13,Results!$K$2:$K$282,0),11)=DummyStandings!$E18),2,IF(INDEX(Results!$B$2:$AB$282,MATCH(DummyStandings!P$13&amp;DummyStandings!$E18,Results!$K$2:$K$282,0),11)=DummyStandings!$E18,1,IF(INDEX(Results!$B$2:$AB$282,MATCH(DummyStandings!$E18&amp;DummyStandings!P$13,Results!$K$2:$K$282,0),11)=DummyStandings!$E18,1,0))))</f>
        <v>1</v>
      </c>
      <c r="Q18" s="35">
        <f>IF(Q$13=$E18,0,INDEX(Results!$B$2:$O$282,MATCH(DummyStandings!$E18&amp;DummyStandings!Q$13,Results!$K$2:$K$282,0),3)-INDEX(Results!$B$2:$O$282,MATCH(DummyStandings!$E18&amp;DummyStandings!Q$13,Results!$K$2:$K$282,0),4))</f>
        <v>7</v>
      </c>
      <c r="R18" s="137">
        <f t="shared" si="47"/>
        <v>0</v>
      </c>
      <c r="S18" s="34">
        <f>IF(S$13=$E18,0,IF(AND(INDEX(Results!$B$2:$AB$282,MATCH(DummyStandings!S$13&amp;DummyStandings!$E18,Results!$K$2:$K$282,0),11)=DummyStandings!$E18,INDEX(Results!$B$2:$AB$282,MATCH(DummyStandings!$E18&amp;DummyStandings!S$13,Results!$K$2:$K$282,0),11)=DummyStandings!$E18),2,IF(INDEX(Results!$B$2:$AB$282,MATCH(DummyStandings!S$13&amp;DummyStandings!$E18,Results!$K$2:$K$282,0),11)=DummyStandings!$E18,1,IF(INDEX(Results!$B$2:$AB$282,MATCH(DummyStandings!$E18&amp;DummyStandings!S$13,Results!$K$2:$K$282,0),11)=DummyStandings!$E18,1,0))))</f>
        <v>0</v>
      </c>
      <c r="T18" s="35">
        <f>IF(T$13=$E18,0,INDEX(Results!$B$2:$O$282,MATCH(DummyStandings!$E18&amp;DummyStandings!T$13,Results!$K$2:$K$282,0),3)-INDEX(Results!$B$2:$O$282,MATCH(DummyStandings!$E18&amp;DummyStandings!T$13,Results!$K$2:$K$282,0),4))</f>
        <v>0</v>
      </c>
      <c r="U18" s="137">
        <f t="shared" si="48"/>
        <v>0</v>
      </c>
      <c r="V18" s="34">
        <f>IF(V$13=$E18,0,IF(AND(INDEX(Results!$B$2:$AB$282,MATCH(DummyStandings!V$13&amp;DummyStandings!$E18,Results!$K$2:$K$282,0),11)=DummyStandings!$E18,INDEX(Results!$B$2:$AB$282,MATCH(DummyStandings!$E18&amp;DummyStandings!V$13,Results!$K$2:$K$282,0),11)=DummyStandings!$E18),2,IF(INDEX(Results!$B$2:$AB$282,MATCH(DummyStandings!V$13&amp;DummyStandings!$E18,Results!$K$2:$K$282,0),11)=DummyStandings!$E18,1,IF(INDEX(Results!$B$2:$AB$282,MATCH(DummyStandings!$E18&amp;DummyStandings!V$13,Results!$K$2:$K$282,0),11)=DummyStandings!$E18,1,0))))</f>
        <v>2</v>
      </c>
      <c r="W18" s="35">
        <f>IF(W$13=$E18,0,INDEX(Results!$B$2:$O$282,MATCH(DummyStandings!$E18&amp;DummyStandings!W$13,Results!$K$2:$K$282,0),3)-INDEX(Results!$B$2:$O$282,MATCH(DummyStandings!$E18&amp;DummyStandings!W$13,Results!$K$2:$K$282,0),4))</f>
        <v>7</v>
      </c>
      <c r="X18" s="137">
        <f t="shared" si="49"/>
        <v>0</v>
      </c>
      <c r="Y18" s="34">
        <f>IF(Y$13=$E18,0,IF(AND(INDEX(Results!$B$2:$AB$282,MATCH(DummyStandings!Y$13&amp;DummyStandings!$E18,Results!$K$2:$K$282,0),11)=DummyStandings!$E18,INDEX(Results!$B$2:$AB$282,MATCH(DummyStandings!$E18&amp;DummyStandings!Y$13,Results!$K$2:$K$282,0),11)=DummyStandings!$E18),2,IF(INDEX(Results!$B$2:$AB$282,MATCH(DummyStandings!Y$13&amp;DummyStandings!$E18,Results!$K$2:$K$282,0),11)=DummyStandings!$E18,1,IF(INDEX(Results!$B$2:$AB$282,MATCH(DummyStandings!$E18&amp;DummyStandings!Y$13,Results!$K$2:$K$282,0),11)=DummyStandings!$E18,1,0))))</f>
        <v>0</v>
      </c>
      <c r="Z18" s="35">
        <f>IF(Z$13=$E18,0,INDEX(Results!$B$2:$O$282,MATCH(DummyStandings!$E18&amp;DummyStandings!Z$13,Results!$K$2:$K$282,0),3)-INDEX(Results!$B$2:$O$282,MATCH(DummyStandings!$E18&amp;DummyStandings!Z$13,Results!$K$2:$K$282,0),4))</f>
        <v>-14</v>
      </c>
      <c r="AA18" s="137">
        <f t="shared" si="50"/>
        <v>1</v>
      </c>
      <c r="AB18" s="34">
        <f>IF(AB$13=$E18,0,IF(AND(INDEX(Results!$B$2:$AB$282,MATCH(DummyStandings!AB$13&amp;DummyStandings!$E18,Results!$K$2:$K$282,0),11)=DummyStandings!$E18,INDEX(Results!$B$2:$AB$282,MATCH(DummyStandings!$E18&amp;DummyStandings!AB$13,Results!$K$2:$K$282,0),11)=DummyStandings!$E18),2,IF(INDEX(Results!$B$2:$AB$282,MATCH(DummyStandings!AB$13&amp;DummyStandings!$E18,Results!$K$2:$K$282,0),11)=DummyStandings!$E18,1,IF(INDEX(Results!$B$2:$AB$282,MATCH(DummyStandings!$E18&amp;DummyStandings!AB$13,Results!$K$2:$K$282,0),11)=DummyStandings!$E18,1,0))))</f>
        <v>0</v>
      </c>
      <c r="AC18" s="35">
        <f>IF(AC$13=$E18,0,INDEX(Results!$B$2:$O$282,MATCH(DummyStandings!$E18&amp;DummyStandings!AC$13,Results!$K$2:$K$282,0),3)-INDEX(Results!$B$2:$O$282,MATCH(DummyStandings!$E18&amp;DummyStandings!AC$13,Results!$K$2:$K$282,0),4))</f>
        <v>-10</v>
      </c>
      <c r="AD18" s="132">
        <f t="shared" si="60"/>
        <v>0</v>
      </c>
      <c r="AE18" s="137">
        <f t="shared" si="60"/>
        <v>0</v>
      </c>
      <c r="AF18" s="137">
        <f t="shared" si="51"/>
        <v>30</v>
      </c>
      <c r="AG18" s="132">
        <f t="shared" si="19"/>
        <v>1</v>
      </c>
      <c r="AH18" s="34">
        <f t="shared" si="52"/>
        <v>0</v>
      </c>
      <c r="AI18" s="137">
        <f t="shared" si="53"/>
        <v>0</v>
      </c>
      <c r="AJ18" s="137">
        <f t="shared" si="54"/>
        <v>0</v>
      </c>
      <c r="AK18" s="132">
        <f t="shared" si="55"/>
        <v>0</v>
      </c>
      <c r="AL18" s="132">
        <f t="shared" si="20"/>
        <v>0</v>
      </c>
      <c r="AM18" s="137">
        <f t="shared" si="21"/>
        <v>14</v>
      </c>
      <c r="AN18" s="34">
        <f t="shared" si="22"/>
        <v>4</v>
      </c>
      <c r="AO18" s="34">
        <f t="shared" si="23"/>
        <v>10</v>
      </c>
      <c r="AP18" s="34">
        <f t="shared" si="24"/>
        <v>125</v>
      </c>
      <c r="AQ18" s="34">
        <f t="shared" si="25"/>
        <v>247</v>
      </c>
      <c r="AR18" s="34">
        <f t="shared" si="26"/>
        <v>-122</v>
      </c>
      <c r="AS18" s="137">
        <f t="shared" si="27"/>
        <v>7</v>
      </c>
      <c r="AT18" s="34">
        <f>SUMPRODUCT((Results!$C$3:$C$282=DummyStandings!$C18)*(Results!$D$3:$D$282&gt;Results!$E$3:$E$282))</f>
        <v>3</v>
      </c>
      <c r="AU18" s="34">
        <f>SUMPRODUCT((Results!$C$3:$C$282=DummyStandings!$C18)*(Results!$D$3:$D$282&lt;Results!$E$3:$E$282))</f>
        <v>4</v>
      </c>
      <c r="AV18" s="34">
        <f>SUMIF(Results!$C$3:$C$282,$C18,Results!$D$3:$D$282)</f>
        <v>85</v>
      </c>
      <c r="AW18" s="34">
        <f>SUMIF(Results!$C$3:$C$282,$C18,Results!$E$3:$E$282)</f>
        <v>112</v>
      </c>
      <c r="AX18" s="34">
        <f t="shared" si="28"/>
        <v>-27</v>
      </c>
      <c r="AY18" s="137">
        <f t="shared" si="29"/>
        <v>7</v>
      </c>
      <c r="AZ18" s="34">
        <f>SUMPRODUCT((Results!$F$3:$F$282=DummyStandings!$C18)*(Results!$E$3:$E$282&gt;Results!$D$3:$D$282))</f>
        <v>1</v>
      </c>
      <c r="BA18" s="34">
        <f>SUMPRODUCT((Results!$F$3:$F$282=DummyStandings!$C18)*(Results!$E$3:$E$282&lt;Results!$D$3:$D$282))</f>
        <v>6</v>
      </c>
      <c r="BB18" s="34">
        <f>SUMIF(Results!$F$3:$F$282,$C18,Results!$E$3:$E$282)</f>
        <v>40</v>
      </c>
      <c r="BC18" s="34">
        <f>SUMIF(Results!$F$3:$F$282,$C18,Results!$D$3:$D$282)</f>
        <v>135</v>
      </c>
      <c r="BD18" s="35">
        <f t="shared" si="30"/>
        <v>-95</v>
      </c>
      <c r="BE18" s="34">
        <f>INDEX(Teams!$B$5:$H$45,MATCH(DummyStandings!E18,Teams!$G$5:$G$45,0),7)</f>
        <v>16</v>
      </c>
      <c r="BF18" s="272">
        <f t="shared" si="40"/>
        <v>0.22857142857142856</v>
      </c>
      <c r="BG18" s="275">
        <f t="shared" si="31"/>
        <v>0.41142857142857137</v>
      </c>
      <c r="BH18" s="275">
        <f t="shared" si="41"/>
        <v>0.2895238095238095</v>
      </c>
      <c r="BI18" s="34">
        <v>1</v>
      </c>
      <c r="BJ18" s="132">
        <f t="shared" si="32"/>
        <v>30</v>
      </c>
      <c r="BK18" s="35">
        <f t="shared" si="33"/>
        <v>1</v>
      </c>
      <c r="BL18" s="35">
        <f t="shared" si="34"/>
        <v>0</v>
      </c>
      <c r="BM18" s="35">
        <f t="shared" si="35"/>
        <v>0</v>
      </c>
      <c r="BN18" s="35">
        <f t="shared" si="36"/>
        <v>0</v>
      </c>
      <c r="BO18" s="35">
        <f t="shared" si="37"/>
        <v>0</v>
      </c>
      <c r="BP18" s="137">
        <f t="shared" si="38"/>
        <v>0</v>
      </c>
      <c r="BQ18" s="132">
        <f t="shared" si="56"/>
        <v>32</v>
      </c>
      <c r="BR18" s="137">
        <f t="shared" si="57"/>
        <v>-1</v>
      </c>
      <c r="BS18" s="132">
        <f t="shared" si="58"/>
        <v>1</v>
      </c>
      <c r="BT18" s="35">
        <f t="shared" si="39"/>
        <v>31</v>
      </c>
    </row>
    <row r="19" spans="2:72" ht="12.75">
      <c r="B19" s="132">
        <f t="shared" si="59"/>
        <v>34</v>
      </c>
      <c r="C19" s="161" t="str">
        <f>Teams!B19</f>
        <v>University of Olympia</v>
      </c>
      <c r="D19" s="137" t="str">
        <f>INDEX(Teams!$B$5:$F$45,MATCH(DummyStandings!$C19,Teams!$B$5:$B$45,0),COLUMN()+1)</f>
        <v>Horizon</v>
      </c>
      <c r="E19" s="165" t="str">
        <f>INDEX(Teams!$B$5:$H$45,MATCH(DummyStandings!$C19,Teams!$B$5:$B$45,0),6)</f>
        <v>OLYM</v>
      </c>
      <c r="F19" s="137">
        <f t="shared" si="43"/>
        <v>0</v>
      </c>
      <c r="G19" s="34">
        <f>IF(G$13=$E19,0,IF(AND(INDEX(Results!$B$2:$AB$282,MATCH(DummyStandings!G$13&amp;DummyStandings!$E19,Results!$K$2:$K$282,0),11)=DummyStandings!$E19,INDEX(Results!$B$2:$AB$282,MATCH(DummyStandings!$E19&amp;DummyStandings!G$13,Results!$K$2:$K$282,0),11)=DummyStandings!$E19),2,IF(INDEX(Results!$B$2:$AB$282,MATCH(DummyStandings!G$13&amp;DummyStandings!$E19,Results!$K$2:$K$282,0),11)=DummyStandings!$E19,1,IF(INDEX(Results!$B$2:$AB$282,MATCH(DummyStandings!$E19&amp;DummyStandings!G$13,Results!$K$2:$K$282,0),11)=DummyStandings!$E19,1,0))))</f>
        <v>0</v>
      </c>
      <c r="H19" s="35">
        <f>IF(H$13=$E19,0,INDEX(Results!$B$2:$O$282,MATCH(DummyStandings!$E19&amp;DummyStandings!H$13,Results!$K$2:$K$282,0),3)-INDEX(Results!$B$2:$O$282,MATCH(DummyStandings!$E19&amp;DummyStandings!H$13,Results!$K$2:$K$282,0),4))</f>
        <v>-10</v>
      </c>
      <c r="I19" s="137">
        <f t="shared" si="44"/>
        <v>0</v>
      </c>
      <c r="J19" s="34">
        <f>IF(J$13=$E19,0,IF(AND(INDEX(Results!$B$2:$AB$282,MATCH(DummyStandings!J$13&amp;DummyStandings!$E19,Results!$K$2:$K$282,0),11)=DummyStandings!$E19,INDEX(Results!$B$2:$AB$282,MATCH(DummyStandings!$E19&amp;DummyStandings!J$13,Results!$K$2:$K$282,0),11)=DummyStandings!$E19),2,IF(INDEX(Results!$B$2:$AB$282,MATCH(DummyStandings!J$13&amp;DummyStandings!$E19,Results!$K$2:$K$282,0),11)=DummyStandings!$E19,1,IF(INDEX(Results!$B$2:$AB$282,MATCH(DummyStandings!$E19&amp;DummyStandings!J$13,Results!$K$2:$K$282,0),11)=DummyStandings!$E19,1,0))))</f>
        <v>0</v>
      </c>
      <c r="K19" s="35">
        <f>IF(K$13=$E19,0,INDEX(Results!$B$2:$O$282,MATCH(DummyStandings!$E19&amp;DummyStandings!K$13,Results!$K$2:$K$282,0),3)-INDEX(Results!$B$2:$O$282,MATCH(DummyStandings!$E19&amp;DummyStandings!K$13,Results!$K$2:$K$282,0),4))</f>
        <v>-9</v>
      </c>
      <c r="L19" s="137">
        <f t="shared" si="45"/>
        <v>0</v>
      </c>
      <c r="M19" s="34">
        <f>IF(M$13=$E19,0,IF(AND(INDEX(Results!$B$2:$AB$282,MATCH(DummyStandings!M$13&amp;DummyStandings!$E19,Results!$K$2:$K$282,0),11)=DummyStandings!$E19,INDEX(Results!$B$2:$AB$282,MATCH(DummyStandings!$E19&amp;DummyStandings!M$13,Results!$K$2:$K$282,0),11)=DummyStandings!$E19),2,IF(INDEX(Results!$B$2:$AB$282,MATCH(DummyStandings!M$13&amp;DummyStandings!$E19,Results!$K$2:$K$282,0),11)=DummyStandings!$E19,1,IF(INDEX(Results!$B$2:$AB$282,MATCH(DummyStandings!$E19&amp;DummyStandings!M$13,Results!$K$2:$K$282,0),11)=DummyStandings!$E19,1,0))))</f>
        <v>0</v>
      </c>
      <c r="N19" s="35">
        <f>IF(N$13=$E19,0,INDEX(Results!$B$2:$O$282,MATCH(DummyStandings!$E19&amp;DummyStandings!N$13,Results!$K$2:$K$282,0),3)-INDEX(Results!$B$2:$O$282,MATCH(DummyStandings!$E19&amp;DummyStandings!N$13,Results!$K$2:$K$282,0),4))</f>
        <v>-10</v>
      </c>
      <c r="O19" s="137">
        <f t="shared" si="46"/>
        <v>0</v>
      </c>
      <c r="P19" s="34">
        <f>IF(P$13=$E19,0,IF(AND(INDEX(Results!$B$2:$AB$282,MATCH(DummyStandings!P$13&amp;DummyStandings!$E19,Results!$K$2:$K$282,0),11)=DummyStandings!$E19,INDEX(Results!$B$2:$AB$282,MATCH(DummyStandings!$E19&amp;DummyStandings!P$13,Results!$K$2:$K$282,0),11)=DummyStandings!$E19),2,IF(INDEX(Results!$B$2:$AB$282,MATCH(DummyStandings!P$13&amp;DummyStandings!$E19,Results!$K$2:$K$282,0),11)=DummyStandings!$E19,1,IF(INDEX(Results!$B$2:$AB$282,MATCH(DummyStandings!$E19&amp;DummyStandings!P$13,Results!$K$2:$K$282,0),11)=DummyStandings!$E19,1,0))))</f>
        <v>1</v>
      </c>
      <c r="Q19" s="35">
        <f>IF(Q$13=$E19,0,INDEX(Results!$B$2:$O$282,MATCH(DummyStandings!$E19&amp;DummyStandings!Q$13,Results!$K$2:$K$282,0),3)-INDEX(Results!$B$2:$O$282,MATCH(DummyStandings!$E19&amp;DummyStandings!Q$13,Results!$K$2:$K$282,0),4))</f>
        <v>7</v>
      </c>
      <c r="R19" s="137">
        <f t="shared" si="47"/>
        <v>0</v>
      </c>
      <c r="S19" s="34">
        <f>IF(S$13=$E19,0,IF(AND(INDEX(Results!$B$2:$AB$282,MATCH(DummyStandings!S$13&amp;DummyStandings!$E19,Results!$K$2:$K$282,0),11)=DummyStandings!$E19,INDEX(Results!$B$2:$AB$282,MATCH(DummyStandings!$E19&amp;DummyStandings!S$13,Results!$K$2:$K$282,0),11)=DummyStandings!$E19),2,IF(INDEX(Results!$B$2:$AB$282,MATCH(DummyStandings!S$13&amp;DummyStandings!$E19,Results!$K$2:$K$282,0),11)=DummyStandings!$E19,1,IF(INDEX(Results!$B$2:$AB$282,MATCH(DummyStandings!$E19&amp;DummyStandings!S$13,Results!$K$2:$K$282,0),11)=DummyStandings!$E19,1,0))))</f>
        <v>0</v>
      </c>
      <c r="T19" s="35">
        <f>IF(T$13=$E19,0,INDEX(Results!$B$2:$O$282,MATCH(DummyStandings!$E19&amp;DummyStandings!T$13,Results!$K$2:$K$282,0),3)-INDEX(Results!$B$2:$O$282,MATCH(DummyStandings!$E19&amp;DummyStandings!T$13,Results!$K$2:$K$282,0),4))</f>
        <v>-10</v>
      </c>
      <c r="U19" s="137">
        <f t="shared" si="48"/>
        <v>0</v>
      </c>
      <c r="V19" s="34">
        <f>IF(V$13=$E19,0,IF(AND(INDEX(Results!$B$2:$AB$282,MATCH(DummyStandings!V$13&amp;DummyStandings!$E19,Results!$K$2:$K$282,0),11)=DummyStandings!$E19,INDEX(Results!$B$2:$AB$282,MATCH(DummyStandings!$E19&amp;DummyStandings!V$13,Results!$K$2:$K$282,0),11)=DummyStandings!$E19),2,IF(INDEX(Results!$B$2:$AB$282,MATCH(DummyStandings!V$13&amp;DummyStandings!$E19,Results!$K$2:$K$282,0),11)=DummyStandings!$E19,1,IF(INDEX(Results!$B$2:$AB$282,MATCH(DummyStandings!$E19&amp;DummyStandings!V$13,Results!$K$2:$K$282,0),11)=DummyStandings!$E19,1,0))))</f>
        <v>0</v>
      </c>
      <c r="W19" s="35">
        <f>IF(W$13=$E19,0,INDEX(Results!$B$2:$O$282,MATCH(DummyStandings!$E19&amp;DummyStandings!W$13,Results!$K$2:$K$282,0),3)-INDEX(Results!$B$2:$O$282,MATCH(DummyStandings!$E19&amp;DummyStandings!W$13,Results!$K$2:$K$282,0),4))</f>
        <v>0</v>
      </c>
      <c r="X19" s="137">
        <f t="shared" si="49"/>
        <v>0</v>
      </c>
      <c r="Y19" s="34">
        <f>IF(Y$13=$E19,0,IF(AND(INDEX(Results!$B$2:$AB$282,MATCH(DummyStandings!Y$13&amp;DummyStandings!$E19,Results!$K$2:$K$282,0),11)=DummyStandings!$E19,INDEX(Results!$B$2:$AB$282,MATCH(DummyStandings!$E19&amp;DummyStandings!Y$13,Results!$K$2:$K$282,0),11)=DummyStandings!$E19),2,IF(INDEX(Results!$B$2:$AB$282,MATCH(DummyStandings!Y$13&amp;DummyStandings!$E19,Results!$K$2:$K$282,0),11)=DummyStandings!$E19,1,IF(INDEX(Results!$B$2:$AB$282,MATCH(DummyStandings!$E19&amp;DummyStandings!Y$13,Results!$K$2:$K$282,0),11)=DummyStandings!$E19,1,0))))</f>
        <v>1</v>
      </c>
      <c r="Z19" s="35">
        <f>IF(Z$13=$E19,0,INDEX(Results!$B$2:$O$282,MATCH(DummyStandings!$E19&amp;DummyStandings!Z$13,Results!$K$2:$K$282,0),3)-INDEX(Results!$B$2:$O$282,MATCH(DummyStandings!$E19&amp;DummyStandings!Z$13,Results!$K$2:$K$282,0),4))</f>
        <v>3</v>
      </c>
      <c r="AA19" s="137">
        <f t="shared" si="50"/>
        <v>0</v>
      </c>
      <c r="AB19" s="34">
        <f>IF(AB$13=$E19,0,IF(AND(INDEX(Results!$B$2:$AB$282,MATCH(DummyStandings!AB$13&amp;DummyStandings!$E19,Results!$K$2:$K$282,0),11)=DummyStandings!$E19,INDEX(Results!$B$2:$AB$282,MATCH(DummyStandings!$E19&amp;DummyStandings!AB$13,Results!$K$2:$K$282,0),11)=DummyStandings!$E19),2,IF(INDEX(Results!$B$2:$AB$282,MATCH(DummyStandings!AB$13&amp;DummyStandings!$E19,Results!$K$2:$K$282,0),11)=DummyStandings!$E19,1,IF(INDEX(Results!$B$2:$AB$282,MATCH(DummyStandings!$E19&amp;DummyStandings!AB$13,Results!$K$2:$K$282,0),11)=DummyStandings!$E19,1,0))))</f>
        <v>1</v>
      </c>
      <c r="AC19" s="35">
        <f>IF(AC$13=$E19,0,INDEX(Results!$B$2:$O$282,MATCH(DummyStandings!$E19&amp;DummyStandings!AC$13,Results!$K$2:$K$282,0),3)-INDEX(Results!$B$2:$O$282,MATCH(DummyStandings!$E19&amp;DummyStandings!AC$13,Results!$K$2:$K$282,0),4))</f>
        <v>1</v>
      </c>
      <c r="AD19" s="132">
        <f t="shared" si="60"/>
        <v>0</v>
      </c>
      <c r="AE19" s="137">
        <f t="shared" si="60"/>
        <v>0</v>
      </c>
      <c r="AF19" s="137">
        <f t="shared" si="51"/>
        <v>32</v>
      </c>
      <c r="AG19" s="132">
        <f t="shared" si="19"/>
        <v>1</v>
      </c>
      <c r="AH19" s="34">
        <f t="shared" si="52"/>
        <v>0</v>
      </c>
      <c r="AI19" s="137">
        <f t="shared" si="53"/>
        <v>1</v>
      </c>
      <c r="AJ19" s="137">
        <f t="shared" si="54"/>
        <v>0</v>
      </c>
      <c r="AK19" s="132">
        <f t="shared" si="55"/>
        <v>0</v>
      </c>
      <c r="AL19" s="132">
        <f t="shared" si="20"/>
        <v>0</v>
      </c>
      <c r="AM19" s="137">
        <f t="shared" si="21"/>
        <v>14</v>
      </c>
      <c r="AN19" s="34">
        <f t="shared" si="22"/>
        <v>3</v>
      </c>
      <c r="AO19" s="34">
        <f t="shared" si="23"/>
        <v>11</v>
      </c>
      <c r="AP19" s="34">
        <f t="shared" si="24"/>
        <v>145</v>
      </c>
      <c r="AQ19" s="34">
        <f t="shared" si="25"/>
        <v>269</v>
      </c>
      <c r="AR19" s="34">
        <f t="shared" si="26"/>
        <v>-124</v>
      </c>
      <c r="AS19" s="137">
        <f t="shared" si="27"/>
        <v>7</v>
      </c>
      <c r="AT19" s="34">
        <f>SUMPRODUCT((Results!$C$3:$C$282=DummyStandings!$C19)*(Results!$D$3:$D$282&gt;Results!$E$3:$E$282))</f>
        <v>3</v>
      </c>
      <c r="AU19" s="34">
        <f>SUMPRODUCT((Results!$C$3:$C$282=DummyStandings!$C19)*(Results!$D$3:$D$282&lt;Results!$E$3:$E$282))</f>
        <v>4</v>
      </c>
      <c r="AV19" s="34">
        <f>SUMIF(Results!$C$3:$C$282,$C19,Results!$D$3:$D$282)</f>
        <v>80</v>
      </c>
      <c r="AW19" s="34">
        <f>SUMIF(Results!$C$3:$C$282,$C19,Results!$E$3:$E$282)</f>
        <v>108</v>
      </c>
      <c r="AX19" s="34">
        <f t="shared" si="28"/>
        <v>-28</v>
      </c>
      <c r="AY19" s="137">
        <f t="shared" si="29"/>
        <v>7</v>
      </c>
      <c r="AZ19" s="34">
        <f>SUMPRODUCT((Results!$F$3:$F$282=DummyStandings!$C19)*(Results!$E$3:$E$282&gt;Results!$D$3:$D$282))</f>
        <v>0</v>
      </c>
      <c r="BA19" s="34">
        <f>SUMPRODUCT((Results!$F$3:$F$282=DummyStandings!$C19)*(Results!$E$3:$E$282&lt;Results!$D$3:$D$282))</f>
        <v>7</v>
      </c>
      <c r="BB19" s="34">
        <f>SUMIF(Results!$F$3:$F$282,$C19,Results!$E$3:$E$282)</f>
        <v>65</v>
      </c>
      <c r="BC19" s="34">
        <f>SUMIF(Results!$F$3:$F$282,$C19,Results!$D$3:$D$282)</f>
        <v>161</v>
      </c>
      <c r="BD19" s="35">
        <f t="shared" si="30"/>
        <v>-96</v>
      </c>
      <c r="BE19" s="34">
        <f>INDEX(Teams!$B$5:$H$45,MATCH(DummyStandings!E19,Teams!$G$5:$G$45,0),7)</f>
        <v>34</v>
      </c>
      <c r="BF19" s="272">
        <f t="shared" si="40"/>
        <v>0.12857142857142856</v>
      </c>
      <c r="BG19" s="275">
        <f t="shared" si="31"/>
        <v>0.4214285714285714</v>
      </c>
      <c r="BH19" s="275">
        <f t="shared" si="41"/>
        <v>0.22619047619047616</v>
      </c>
      <c r="BI19" s="34">
        <v>1</v>
      </c>
      <c r="BJ19" s="132">
        <f t="shared" si="32"/>
        <v>36</v>
      </c>
      <c r="BK19" s="35">
        <f t="shared" si="33"/>
        <v>0</v>
      </c>
      <c r="BL19" s="35">
        <f t="shared" si="34"/>
        <v>0</v>
      </c>
      <c r="BM19" s="35">
        <f t="shared" si="35"/>
        <v>0</v>
      </c>
      <c r="BN19" s="35">
        <f t="shared" si="36"/>
        <v>0</v>
      </c>
      <c r="BO19" s="35">
        <f t="shared" si="37"/>
        <v>0</v>
      </c>
      <c r="BP19" s="137">
        <f t="shared" si="38"/>
        <v>0</v>
      </c>
      <c r="BQ19" s="132">
        <f t="shared" si="56"/>
        <v>37</v>
      </c>
      <c r="BR19" s="137">
        <f t="shared" si="57"/>
        <v>-3</v>
      </c>
      <c r="BS19" s="132">
        <f t="shared" si="58"/>
        <v>1</v>
      </c>
      <c r="BT19" s="35">
        <f t="shared" si="39"/>
        <v>33</v>
      </c>
    </row>
    <row r="20" spans="2:72" ht="12.75">
      <c r="B20" s="132">
        <f t="shared" si="59"/>
        <v>18</v>
      </c>
      <c r="C20" s="161" t="str">
        <f>Teams!B20</f>
        <v>University of Spitfyred - North</v>
      </c>
      <c r="D20" s="137" t="str">
        <f>INDEX(Teams!$B$5:$F$45,MATCH(DummyStandings!$C20,Teams!$B$5:$B$45,0),COLUMN()+1)</f>
        <v>Horizon</v>
      </c>
      <c r="E20" s="165" t="str">
        <f>INDEX(Teams!$B$5:$H$45,MATCH(DummyStandings!$C20,Teams!$B$5:$B$45,0),6)</f>
        <v>USPN</v>
      </c>
      <c r="F20" s="137">
        <f t="shared" si="43"/>
        <v>0</v>
      </c>
      <c r="G20" s="34">
        <f>IF(G$13=$E20,0,IF(AND(INDEX(Results!$B$2:$AB$282,MATCH(DummyStandings!G$13&amp;DummyStandings!$E20,Results!$K$2:$K$282,0),11)=DummyStandings!$E20,INDEX(Results!$B$2:$AB$282,MATCH(DummyStandings!$E20&amp;DummyStandings!G$13,Results!$K$2:$K$282,0),11)=DummyStandings!$E20),2,IF(INDEX(Results!$B$2:$AB$282,MATCH(DummyStandings!G$13&amp;DummyStandings!$E20,Results!$K$2:$K$282,0),11)=DummyStandings!$E20,1,IF(INDEX(Results!$B$2:$AB$282,MATCH(DummyStandings!$E20&amp;DummyStandings!G$13,Results!$K$2:$K$282,0),11)=DummyStandings!$E20,1,0))))</f>
        <v>0</v>
      </c>
      <c r="H20" s="35">
        <f>IF(H$13=$E20,0,INDEX(Results!$B$2:$O$282,MATCH(DummyStandings!$E20&amp;DummyStandings!H$13,Results!$K$2:$K$282,0),3)-INDEX(Results!$B$2:$O$282,MATCH(DummyStandings!$E20&amp;DummyStandings!H$13,Results!$K$2:$K$282,0),4))</f>
        <v>-1</v>
      </c>
      <c r="I20" s="137">
        <f t="shared" si="44"/>
        <v>0</v>
      </c>
      <c r="J20" s="34">
        <f>IF(J$13=$E20,0,IF(AND(INDEX(Results!$B$2:$AB$282,MATCH(DummyStandings!J$13&amp;DummyStandings!$E20,Results!$K$2:$K$282,0),11)=DummyStandings!$E20,INDEX(Results!$B$2:$AB$282,MATCH(DummyStandings!$E20&amp;DummyStandings!J$13,Results!$K$2:$K$282,0),11)=DummyStandings!$E20),2,IF(INDEX(Results!$B$2:$AB$282,MATCH(DummyStandings!J$13&amp;DummyStandings!$E20,Results!$K$2:$K$282,0),11)=DummyStandings!$E20,1,IF(INDEX(Results!$B$2:$AB$282,MATCH(DummyStandings!$E20&amp;DummyStandings!J$13,Results!$K$2:$K$282,0),11)=DummyStandings!$E20,1,0))))</f>
        <v>2</v>
      </c>
      <c r="K20" s="35">
        <f>IF(K$13=$E20,0,INDEX(Results!$B$2:$O$282,MATCH(DummyStandings!$E20&amp;DummyStandings!K$13,Results!$K$2:$K$282,0),3)-INDEX(Results!$B$2:$O$282,MATCH(DummyStandings!$E20&amp;DummyStandings!K$13,Results!$K$2:$K$282,0),4))</f>
        <v>17</v>
      </c>
      <c r="L20" s="137">
        <f t="shared" si="45"/>
        <v>0</v>
      </c>
      <c r="M20" s="34">
        <f>IF(M$13=$E20,0,IF(AND(INDEX(Results!$B$2:$AB$282,MATCH(DummyStandings!M$13&amp;DummyStandings!$E20,Results!$K$2:$K$282,0),11)=DummyStandings!$E20,INDEX(Results!$B$2:$AB$282,MATCH(DummyStandings!$E20&amp;DummyStandings!M$13,Results!$K$2:$K$282,0),11)=DummyStandings!$E20),2,IF(INDEX(Results!$B$2:$AB$282,MATCH(DummyStandings!M$13&amp;DummyStandings!$E20,Results!$K$2:$K$282,0),11)=DummyStandings!$E20,1,IF(INDEX(Results!$B$2:$AB$282,MATCH(DummyStandings!$E20&amp;DummyStandings!M$13,Results!$K$2:$K$282,0),11)=DummyStandings!$E20,1,0))))</f>
        <v>0</v>
      </c>
      <c r="N20" s="35">
        <f>IF(N$13=$E20,0,INDEX(Results!$B$2:$O$282,MATCH(DummyStandings!$E20&amp;DummyStandings!N$13,Results!$K$2:$K$282,0),3)-INDEX(Results!$B$2:$O$282,MATCH(DummyStandings!$E20&amp;DummyStandings!N$13,Results!$K$2:$K$282,0),4))</f>
        <v>-7</v>
      </c>
      <c r="O20" s="137">
        <f t="shared" si="46"/>
        <v>0</v>
      </c>
      <c r="P20" s="34">
        <f>IF(P$13=$E20,0,IF(AND(INDEX(Results!$B$2:$AB$282,MATCH(DummyStandings!P$13&amp;DummyStandings!$E20,Results!$K$2:$K$282,0),11)=DummyStandings!$E20,INDEX(Results!$B$2:$AB$282,MATCH(DummyStandings!$E20&amp;DummyStandings!P$13,Results!$K$2:$K$282,0),11)=DummyStandings!$E20),2,IF(INDEX(Results!$B$2:$AB$282,MATCH(DummyStandings!P$13&amp;DummyStandings!$E20,Results!$K$2:$K$282,0),11)=DummyStandings!$E20,1,IF(INDEX(Results!$B$2:$AB$282,MATCH(DummyStandings!$E20&amp;DummyStandings!P$13,Results!$K$2:$K$282,0),11)=DummyStandings!$E20,1,0))))</f>
        <v>0</v>
      </c>
      <c r="Q20" s="35">
        <f>IF(Q$13=$E20,0,INDEX(Results!$B$2:$O$282,MATCH(DummyStandings!$E20&amp;DummyStandings!Q$13,Results!$K$2:$K$282,0),3)-INDEX(Results!$B$2:$O$282,MATCH(DummyStandings!$E20&amp;DummyStandings!Q$13,Results!$K$2:$K$282,0),4))</f>
        <v>-15</v>
      </c>
      <c r="R20" s="137">
        <f t="shared" si="47"/>
        <v>0</v>
      </c>
      <c r="S20" s="34">
        <f>IF(S$13=$E20,0,IF(AND(INDEX(Results!$B$2:$AB$282,MATCH(DummyStandings!S$13&amp;DummyStandings!$E20,Results!$K$2:$K$282,0),11)=DummyStandings!$E20,INDEX(Results!$B$2:$AB$282,MATCH(DummyStandings!$E20&amp;DummyStandings!S$13,Results!$K$2:$K$282,0),11)=DummyStandings!$E20),2,IF(INDEX(Results!$B$2:$AB$282,MATCH(DummyStandings!S$13&amp;DummyStandings!$E20,Results!$K$2:$K$282,0),11)=DummyStandings!$E20,1,IF(INDEX(Results!$B$2:$AB$282,MATCH(DummyStandings!$E20&amp;DummyStandings!S$13,Results!$K$2:$K$282,0),11)=DummyStandings!$E20,1,0))))</f>
        <v>2</v>
      </c>
      <c r="T20" s="35">
        <f>IF(T$13=$E20,0,INDEX(Results!$B$2:$O$282,MATCH(DummyStandings!$E20&amp;DummyStandings!T$13,Results!$K$2:$K$282,0),3)-INDEX(Results!$B$2:$O$282,MATCH(DummyStandings!$E20&amp;DummyStandings!T$13,Results!$K$2:$K$282,0),4))</f>
        <v>26</v>
      </c>
      <c r="U20" s="137">
        <f t="shared" si="48"/>
        <v>0</v>
      </c>
      <c r="V20" s="34">
        <f>IF(V$13=$E20,0,IF(AND(INDEX(Results!$B$2:$AB$282,MATCH(DummyStandings!V$13&amp;DummyStandings!$E20,Results!$K$2:$K$282,0),11)=DummyStandings!$E20,INDEX(Results!$B$2:$AB$282,MATCH(DummyStandings!$E20&amp;DummyStandings!V$13,Results!$K$2:$K$282,0),11)=DummyStandings!$E20),2,IF(INDEX(Results!$B$2:$AB$282,MATCH(DummyStandings!V$13&amp;DummyStandings!$E20,Results!$K$2:$K$282,0),11)=DummyStandings!$E20,1,IF(INDEX(Results!$B$2:$AB$282,MATCH(DummyStandings!$E20&amp;DummyStandings!V$13,Results!$K$2:$K$282,0),11)=DummyStandings!$E20,1,0))))</f>
        <v>1</v>
      </c>
      <c r="W20" s="35">
        <f>IF(W$13=$E20,0,INDEX(Results!$B$2:$O$282,MATCH(DummyStandings!$E20&amp;DummyStandings!W$13,Results!$K$2:$K$282,0),3)-INDEX(Results!$B$2:$O$282,MATCH(DummyStandings!$E20&amp;DummyStandings!W$13,Results!$K$2:$K$282,0),4))</f>
        <v>27</v>
      </c>
      <c r="X20" s="137">
        <f t="shared" si="49"/>
        <v>0</v>
      </c>
      <c r="Y20" s="34">
        <f>IF(Y$13=$E20,0,IF(AND(INDEX(Results!$B$2:$AB$282,MATCH(DummyStandings!Y$13&amp;DummyStandings!$E20,Results!$K$2:$K$282,0),11)=DummyStandings!$E20,INDEX(Results!$B$2:$AB$282,MATCH(DummyStandings!$E20&amp;DummyStandings!Y$13,Results!$K$2:$K$282,0),11)=DummyStandings!$E20),2,IF(INDEX(Results!$B$2:$AB$282,MATCH(DummyStandings!Y$13&amp;DummyStandings!$E20,Results!$K$2:$K$282,0),11)=DummyStandings!$E20,1,IF(INDEX(Results!$B$2:$AB$282,MATCH(DummyStandings!$E20&amp;DummyStandings!Y$13,Results!$K$2:$K$282,0),11)=DummyStandings!$E20,1,0))))</f>
        <v>0</v>
      </c>
      <c r="Z20" s="35">
        <f>IF(Z$13=$E20,0,INDEX(Results!$B$2:$O$282,MATCH(DummyStandings!$E20&amp;DummyStandings!Z$13,Results!$K$2:$K$282,0),3)-INDEX(Results!$B$2:$O$282,MATCH(DummyStandings!$E20&amp;DummyStandings!Z$13,Results!$K$2:$K$282,0),4))</f>
        <v>0</v>
      </c>
      <c r="AA20" s="137">
        <f t="shared" si="50"/>
        <v>0</v>
      </c>
      <c r="AB20" s="34">
        <f>IF(AB$13=$E20,0,IF(AND(INDEX(Results!$B$2:$AB$282,MATCH(DummyStandings!AB$13&amp;DummyStandings!$E20,Results!$K$2:$K$282,0),11)=DummyStandings!$E20,INDEX(Results!$B$2:$AB$282,MATCH(DummyStandings!$E20&amp;DummyStandings!AB$13,Results!$K$2:$K$282,0),11)=DummyStandings!$E20),2,IF(INDEX(Results!$B$2:$AB$282,MATCH(DummyStandings!AB$13&amp;DummyStandings!$E20,Results!$K$2:$K$282,0),11)=DummyStandings!$E20,1,IF(INDEX(Results!$B$2:$AB$282,MATCH(DummyStandings!$E20&amp;DummyStandings!AB$13,Results!$K$2:$K$282,0),11)=DummyStandings!$E20,1,0))))</f>
        <v>2</v>
      </c>
      <c r="AC20" s="35">
        <f>IF(AC$13=$E20,0,INDEX(Results!$B$2:$O$282,MATCH(DummyStandings!$E20&amp;DummyStandings!AC$13,Results!$K$2:$K$282,0),3)-INDEX(Results!$B$2:$O$282,MATCH(DummyStandings!$E20&amp;DummyStandings!AC$13,Results!$K$2:$K$282,0),4))</f>
        <v>8</v>
      </c>
      <c r="AD20" s="132">
        <f t="shared" si="60"/>
        <v>0</v>
      </c>
      <c r="AE20" s="137">
        <f t="shared" si="60"/>
        <v>0</v>
      </c>
      <c r="AF20" s="137">
        <f t="shared" si="51"/>
        <v>16</v>
      </c>
      <c r="AG20" s="132">
        <f t="shared" si="19"/>
        <v>2</v>
      </c>
      <c r="AH20" s="34">
        <f t="shared" si="52"/>
        <v>0</v>
      </c>
      <c r="AI20" s="137">
        <f t="shared" si="53"/>
        <v>0</v>
      </c>
      <c r="AJ20" s="137">
        <f t="shared" si="54"/>
        <v>0</v>
      </c>
      <c r="AK20" s="132">
        <f t="shared" si="55"/>
        <v>0</v>
      </c>
      <c r="AL20" s="132">
        <f t="shared" si="20"/>
        <v>0</v>
      </c>
      <c r="AM20" s="137">
        <f t="shared" si="21"/>
        <v>14</v>
      </c>
      <c r="AN20" s="34">
        <f t="shared" si="22"/>
        <v>7</v>
      </c>
      <c r="AO20" s="34">
        <f t="shared" si="23"/>
        <v>7</v>
      </c>
      <c r="AP20" s="34">
        <f t="shared" si="24"/>
        <v>267</v>
      </c>
      <c r="AQ20" s="34">
        <f t="shared" si="25"/>
        <v>219</v>
      </c>
      <c r="AR20" s="34">
        <f t="shared" si="26"/>
        <v>48</v>
      </c>
      <c r="AS20" s="137">
        <f t="shared" si="27"/>
        <v>7</v>
      </c>
      <c r="AT20" s="34">
        <f>SUMPRODUCT((Results!$C$3:$C$282=DummyStandings!$C20)*(Results!$D$3:$D$282&gt;Results!$E$3:$E$282))</f>
        <v>4</v>
      </c>
      <c r="AU20" s="34">
        <f>SUMPRODUCT((Results!$C$3:$C$282=DummyStandings!$C20)*(Results!$D$3:$D$282&lt;Results!$E$3:$E$282))</f>
        <v>3</v>
      </c>
      <c r="AV20" s="34">
        <f>SUMIF(Results!$C$3:$C$282,$C20,Results!$D$3:$D$282)</f>
        <v>140</v>
      </c>
      <c r="AW20" s="34">
        <f>SUMIF(Results!$C$3:$C$282,$C20,Results!$E$3:$E$282)</f>
        <v>85</v>
      </c>
      <c r="AX20" s="34">
        <f t="shared" si="28"/>
        <v>55</v>
      </c>
      <c r="AY20" s="137">
        <f t="shared" si="29"/>
        <v>7</v>
      </c>
      <c r="AZ20" s="34">
        <f>SUMPRODUCT((Results!$F$3:$F$282=DummyStandings!$C20)*(Results!$E$3:$E$282&gt;Results!$D$3:$D$282))</f>
        <v>3</v>
      </c>
      <c r="BA20" s="34">
        <f>SUMPRODUCT((Results!$F$3:$F$282=DummyStandings!$C20)*(Results!$E$3:$E$282&lt;Results!$D$3:$D$282))</f>
        <v>4</v>
      </c>
      <c r="BB20" s="34">
        <f>SUMIF(Results!$F$3:$F$282,$C20,Results!$E$3:$E$282)</f>
        <v>127</v>
      </c>
      <c r="BC20" s="34">
        <f>SUMIF(Results!$F$3:$F$282,$C20,Results!$D$3:$D$282)</f>
        <v>134</v>
      </c>
      <c r="BD20" s="35">
        <f t="shared" si="30"/>
        <v>-7</v>
      </c>
      <c r="BE20" s="34">
        <f>INDEX(Teams!$B$5:$H$45,MATCH(DummyStandings!E20,Teams!$G$5:$G$45,0),7)</f>
        <v>36</v>
      </c>
      <c r="BF20" s="272">
        <f t="shared" si="40"/>
        <v>0.4714285714285714</v>
      </c>
      <c r="BG20" s="275">
        <f t="shared" si="31"/>
        <v>0.38714285714285707</v>
      </c>
      <c r="BH20" s="275">
        <f t="shared" si="41"/>
        <v>0.4433333333333333</v>
      </c>
      <c r="BI20" s="34">
        <v>1</v>
      </c>
      <c r="BJ20" s="132">
        <f t="shared" si="32"/>
        <v>17</v>
      </c>
      <c r="BK20" s="35">
        <f t="shared" si="33"/>
        <v>0</v>
      </c>
      <c r="BL20" s="35">
        <f t="shared" si="34"/>
        <v>0</v>
      </c>
      <c r="BM20" s="35">
        <f t="shared" si="35"/>
        <v>0</v>
      </c>
      <c r="BN20" s="35">
        <f t="shared" si="36"/>
        <v>0</v>
      </c>
      <c r="BO20" s="35">
        <f t="shared" si="37"/>
        <v>0</v>
      </c>
      <c r="BP20" s="137">
        <f t="shared" si="38"/>
        <v>0</v>
      </c>
      <c r="BQ20" s="132">
        <f t="shared" si="56"/>
        <v>18</v>
      </c>
      <c r="BR20" s="137">
        <f t="shared" si="57"/>
        <v>0</v>
      </c>
      <c r="BS20" s="132">
        <f t="shared" si="58"/>
        <v>0</v>
      </c>
      <c r="BT20" s="35">
        <f t="shared" si="39"/>
        <v>16</v>
      </c>
    </row>
    <row r="21" spans="2:72" ht="13.5" thickBot="1">
      <c r="B21" s="132">
        <f t="shared" si="59"/>
        <v>30</v>
      </c>
      <c r="C21" s="163" t="str">
        <f>Teams!B21</f>
        <v>University of Weinersnitzel</v>
      </c>
      <c r="D21" s="36" t="str">
        <f>INDEX(Teams!$B$5:$F$45,MATCH(DummyStandings!$C21,Teams!$B$5:$B$45,0),COLUMN()+1)</f>
        <v>Horizon</v>
      </c>
      <c r="E21" s="209" t="str">
        <f>INDEX(Teams!$B$5:$H$45,MATCH(DummyStandings!$C21,Teams!$B$5:$B$45,0),6)</f>
        <v>WIEN</v>
      </c>
      <c r="F21" s="36">
        <f t="shared" si="43"/>
        <v>0</v>
      </c>
      <c r="G21" s="37">
        <f>IF(G$13=$E21,0,IF(AND(INDEX(Results!$B$2:$AB$282,MATCH(DummyStandings!G$13&amp;DummyStandings!$E21,Results!$K$2:$K$282,0),11)=DummyStandings!$E21,INDEX(Results!$B$2:$AB$282,MATCH(DummyStandings!$E21&amp;DummyStandings!G$13,Results!$K$2:$K$282,0),11)=DummyStandings!$E21),2,IF(INDEX(Results!$B$2:$AB$282,MATCH(DummyStandings!G$13&amp;DummyStandings!$E21,Results!$K$2:$K$282,0),11)=DummyStandings!$E21,1,IF(INDEX(Results!$B$2:$AB$282,MATCH(DummyStandings!$E21&amp;DummyStandings!G$13,Results!$K$2:$K$282,0),11)=DummyStandings!$E21,1,0))))</f>
        <v>0</v>
      </c>
      <c r="H21" s="44">
        <f>IF(H$13=$E21,0,INDEX(Results!$B$2:$O$282,MATCH(DummyStandings!$E21&amp;DummyStandings!H$13,Results!$K$2:$K$282,0),3)-INDEX(Results!$B$2:$O$282,MATCH(DummyStandings!$E21&amp;DummyStandings!H$13,Results!$K$2:$K$282,0),4))</f>
        <v>-7</v>
      </c>
      <c r="I21" s="36">
        <f t="shared" si="44"/>
        <v>0</v>
      </c>
      <c r="J21" s="37">
        <f>IF(J$13=$E21,0,IF(AND(INDEX(Results!$B$2:$AB$282,MATCH(DummyStandings!J$13&amp;DummyStandings!$E21,Results!$K$2:$K$282,0),11)=DummyStandings!$E21,INDEX(Results!$B$2:$AB$282,MATCH(DummyStandings!$E21&amp;DummyStandings!J$13,Results!$K$2:$K$282,0),11)=DummyStandings!$E21),2,IF(INDEX(Results!$B$2:$AB$282,MATCH(DummyStandings!J$13&amp;DummyStandings!$E21,Results!$K$2:$K$282,0),11)=DummyStandings!$E21,1,IF(INDEX(Results!$B$2:$AB$282,MATCH(DummyStandings!$E21&amp;DummyStandings!J$13,Results!$K$2:$K$282,0),11)=DummyStandings!$E21,1,0))))</f>
        <v>0</v>
      </c>
      <c r="K21" s="44">
        <f>IF(K$13=$E21,0,INDEX(Results!$B$2:$O$282,MATCH(DummyStandings!$E21&amp;DummyStandings!K$13,Results!$K$2:$K$282,0),3)-INDEX(Results!$B$2:$O$282,MATCH(DummyStandings!$E21&amp;DummyStandings!K$13,Results!$K$2:$K$282,0),4))</f>
        <v>-11</v>
      </c>
      <c r="L21" s="36">
        <f t="shared" si="45"/>
        <v>0</v>
      </c>
      <c r="M21" s="37">
        <f>IF(M$13=$E21,0,IF(AND(INDEX(Results!$B$2:$AB$282,MATCH(DummyStandings!M$13&amp;DummyStandings!$E21,Results!$K$2:$K$282,0),11)=DummyStandings!$E21,INDEX(Results!$B$2:$AB$282,MATCH(DummyStandings!$E21&amp;DummyStandings!M$13,Results!$K$2:$K$282,0),11)=DummyStandings!$E21),2,IF(INDEX(Results!$B$2:$AB$282,MATCH(DummyStandings!M$13&amp;DummyStandings!$E21,Results!$K$2:$K$282,0),11)=DummyStandings!$E21,1,IF(INDEX(Results!$B$2:$AB$282,MATCH(DummyStandings!$E21&amp;DummyStandings!M$13,Results!$K$2:$K$282,0),11)=DummyStandings!$E21,1,0))))</f>
        <v>0</v>
      </c>
      <c r="N21" s="44">
        <f>IF(N$13=$E21,0,INDEX(Results!$B$2:$O$282,MATCH(DummyStandings!$E21&amp;DummyStandings!N$13,Results!$K$2:$K$282,0),3)-INDEX(Results!$B$2:$O$282,MATCH(DummyStandings!$E21&amp;DummyStandings!N$13,Results!$K$2:$K$282,0),4))</f>
        <v>-16</v>
      </c>
      <c r="O21" s="36">
        <f t="shared" si="46"/>
        <v>0</v>
      </c>
      <c r="P21" s="37">
        <f>IF(P$13=$E21,0,IF(AND(INDEX(Results!$B$2:$AB$282,MATCH(DummyStandings!P$13&amp;DummyStandings!$E21,Results!$K$2:$K$282,0),11)=DummyStandings!$E21,INDEX(Results!$B$2:$AB$282,MATCH(DummyStandings!$E21&amp;DummyStandings!P$13,Results!$K$2:$K$282,0),11)=DummyStandings!$E21),2,IF(INDEX(Results!$B$2:$AB$282,MATCH(DummyStandings!P$13&amp;DummyStandings!$E21,Results!$K$2:$K$282,0),11)=DummyStandings!$E21,1,IF(INDEX(Results!$B$2:$AB$282,MATCH(DummyStandings!$E21&amp;DummyStandings!P$13,Results!$K$2:$K$282,0),11)=DummyStandings!$E21,1,0))))</f>
        <v>1</v>
      </c>
      <c r="Q21" s="44">
        <f>IF(Q$13=$E21,0,INDEX(Results!$B$2:$O$282,MATCH(DummyStandings!$E21&amp;DummyStandings!Q$13,Results!$K$2:$K$282,0),3)-INDEX(Results!$B$2:$O$282,MATCH(DummyStandings!$E21&amp;DummyStandings!Q$13,Results!$K$2:$K$282,0),4))</f>
        <v>3</v>
      </c>
      <c r="R21" s="36">
        <f t="shared" si="47"/>
        <v>1</v>
      </c>
      <c r="S21" s="37">
        <f>IF(S$13=$E21,0,IF(AND(INDEX(Results!$B$2:$AB$282,MATCH(DummyStandings!S$13&amp;DummyStandings!$E21,Results!$K$2:$K$282,0),11)=DummyStandings!$E21,INDEX(Results!$B$2:$AB$282,MATCH(DummyStandings!$E21&amp;DummyStandings!S$13,Results!$K$2:$K$282,0),11)=DummyStandings!$E21),2,IF(INDEX(Results!$B$2:$AB$282,MATCH(DummyStandings!S$13&amp;DummyStandings!$E21,Results!$K$2:$K$282,0),11)=DummyStandings!$E21,1,IF(INDEX(Results!$B$2:$AB$282,MATCH(DummyStandings!$E21&amp;DummyStandings!S$13,Results!$K$2:$K$282,0),11)=DummyStandings!$E21,1,0))))</f>
        <v>2</v>
      </c>
      <c r="T21" s="44">
        <f>IF(T$13=$E21,0,INDEX(Results!$B$2:$O$282,MATCH(DummyStandings!$E21&amp;DummyStandings!T$13,Results!$K$2:$K$282,0),3)-INDEX(Results!$B$2:$O$282,MATCH(DummyStandings!$E21&amp;DummyStandings!T$13,Results!$K$2:$K$282,0),4))</f>
        <v>4</v>
      </c>
      <c r="U21" s="36">
        <f t="shared" si="48"/>
        <v>0</v>
      </c>
      <c r="V21" s="37">
        <f>IF(V$13=$E21,0,IF(AND(INDEX(Results!$B$2:$AB$282,MATCH(DummyStandings!V$13&amp;DummyStandings!$E21,Results!$K$2:$K$282,0),11)=DummyStandings!$E21,INDEX(Results!$B$2:$AB$282,MATCH(DummyStandings!$E21&amp;DummyStandings!V$13,Results!$K$2:$K$282,0),11)=DummyStandings!$E21),2,IF(INDEX(Results!$B$2:$AB$282,MATCH(DummyStandings!V$13&amp;DummyStandings!$E21,Results!$K$2:$K$282,0),11)=DummyStandings!$E21,1,IF(INDEX(Results!$B$2:$AB$282,MATCH(DummyStandings!$E21&amp;DummyStandings!V$13,Results!$K$2:$K$282,0),11)=DummyStandings!$E21,1,0))))</f>
        <v>1</v>
      </c>
      <c r="W21" s="44">
        <f>IF(W$13=$E21,0,INDEX(Results!$B$2:$O$282,MATCH(DummyStandings!$E21&amp;DummyStandings!W$13,Results!$K$2:$K$282,0),3)-INDEX(Results!$B$2:$O$282,MATCH(DummyStandings!$E21&amp;DummyStandings!W$13,Results!$K$2:$K$282,0),4))</f>
        <v>3</v>
      </c>
      <c r="X21" s="36">
        <f t="shared" si="49"/>
        <v>0</v>
      </c>
      <c r="Y21" s="37">
        <f>IF(Y$13=$E21,0,IF(AND(INDEX(Results!$B$2:$AB$282,MATCH(DummyStandings!Y$13&amp;DummyStandings!$E21,Results!$K$2:$K$282,0),11)=DummyStandings!$E21,INDEX(Results!$B$2:$AB$282,MATCH(DummyStandings!$E21&amp;DummyStandings!Y$13,Results!$K$2:$K$282,0),11)=DummyStandings!$E21),2,IF(INDEX(Results!$B$2:$AB$282,MATCH(DummyStandings!Y$13&amp;DummyStandings!$E21,Results!$K$2:$K$282,0),11)=DummyStandings!$E21,1,IF(INDEX(Results!$B$2:$AB$282,MATCH(DummyStandings!$E21&amp;DummyStandings!Y$13,Results!$K$2:$K$282,0),11)=DummyStandings!$E21,1,0))))</f>
        <v>0</v>
      </c>
      <c r="Z21" s="44">
        <f>IF(Z$13=$E21,0,INDEX(Results!$B$2:$O$282,MATCH(DummyStandings!$E21&amp;DummyStandings!Z$13,Results!$K$2:$K$282,0),3)-INDEX(Results!$B$2:$O$282,MATCH(DummyStandings!$E21&amp;DummyStandings!Z$13,Results!$K$2:$K$282,0),4))</f>
        <v>-10</v>
      </c>
      <c r="AA21" s="36">
        <f t="shared" si="50"/>
        <v>0</v>
      </c>
      <c r="AB21" s="37">
        <f>IF(AB$13=$E21,0,IF(AND(INDEX(Results!$B$2:$AB$282,MATCH(DummyStandings!AB$13&amp;DummyStandings!$E21,Results!$K$2:$K$282,0),11)=DummyStandings!$E21,INDEX(Results!$B$2:$AB$282,MATCH(DummyStandings!$E21&amp;DummyStandings!AB$13,Results!$K$2:$K$282,0),11)=DummyStandings!$E21),2,IF(INDEX(Results!$B$2:$AB$282,MATCH(DummyStandings!AB$13&amp;DummyStandings!$E21,Results!$K$2:$K$282,0),11)=DummyStandings!$E21,1,IF(INDEX(Results!$B$2:$AB$282,MATCH(DummyStandings!$E21&amp;DummyStandings!AB$13,Results!$K$2:$K$282,0),11)=DummyStandings!$E21,1,0))))</f>
        <v>0</v>
      </c>
      <c r="AC21" s="44">
        <f>IF(AC$13=$E21,0,INDEX(Results!$B$2:$O$282,MATCH(DummyStandings!$E21&amp;DummyStandings!AC$13,Results!$K$2:$K$282,0),3)-INDEX(Results!$B$2:$O$282,MATCH(DummyStandings!$E21&amp;DummyStandings!AC$13,Results!$K$2:$K$282,0),4))</f>
        <v>0</v>
      </c>
      <c r="AD21" s="133">
        <f>($F21*G21)+($I21*J21)+($L21*M21)+($O21*P21)+($R21*S21)+($U21*V21)+($X21*Y21)</f>
        <v>2</v>
      </c>
      <c r="AE21" s="36">
        <f>($F21*H21)+($I21*K21)+($L21*N21)+($O21*Q21)+($R21*T21)+($U21*W21)+($X21*Z21)</f>
        <v>4</v>
      </c>
      <c r="AF21" s="36">
        <f t="shared" si="51"/>
        <v>30</v>
      </c>
      <c r="AG21" s="132">
        <f t="shared" si="19"/>
        <v>0</v>
      </c>
      <c r="AH21" s="37">
        <f t="shared" si="52"/>
        <v>0</v>
      </c>
      <c r="AI21" s="36">
        <f t="shared" si="53"/>
        <v>0</v>
      </c>
      <c r="AJ21" s="36">
        <f t="shared" si="54"/>
        <v>0</v>
      </c>
      <c r="AK21" s="133">
        <f t="shared" si="55"/>
        <v>0</v>
      </c>
      <c r="AL21" s="133">
        <f t="shared" si="20"/>
        <v>0</v>
      </c>
      <c r="AM21" s="36">
        <f aca="true" t="shared" si="61" ref="AM21:AR21">AS21+AY21</f>
        <v>14</v>
      </c>
      <c r="AN21" s="37">
        <f t="shared" si="61"/>
        <v>4</v>
      </c>
      <c r="AO21" s="37">
        <f t="shared" si="61"/>
        <v>10</v>
      </c>
      <c r="AP21" s="37">
        <f t="shared" si="61"/>
        <v>172</v>
      </c>
      <c r="AQ21" s="37">
        <f t="shared" si="61"/>
        <v>248</v>
      </c>
      <c r="AR21" s="37">
        <f t="shared" si="61"/>
        <v>-76</v>
      </c>
      <c r="AS21" s="137">
        <f t="shared" si="27"/>
        <v>7</v>
      </c>
      <c r="AT21" s="34">
        <f>SUMPRODUCT((Results!$C$3:$C$282=DummyStandings!$C21)*(Results!$D$3:$D$282&gt;Results!$E$3:$E$282))</f>
        <v>3</v>
      </c>
      <c r="AU21" s="34">
        <f>SUMPRODUCT((Results!$C$3:$C$282=DummyStandings!$C21)*(Results!$D$3:$D$282&lt;Results!$E$3:$E$282))</f>
        <v>4</v>
      </c>
      <c r="AV21" s="34">
        <f>SUMIF(Results!$C$3:$C$282,$C21,Results!$D$3:$D$282)</f>
        <v>89</v>
      </c>
      <c r="AW21" s="34">
        <f>SUMIF(Results!$C$3:$C$282,$C21,Results!$E$3:$E$282)</f>
        <v>123</v>
      </c>
      <c r="AX21" s="34">
        <f t="shared" si="28"/>
        <v>-34</v>
      </c>
      <c r="AY21" s="36">
        <f t="shared" si="29"/>
        <v>7</v>
      </c>
      <c r="AZ21" s="37">
        <f>SUMPRODUCT((Results!$F$3:$F$282=DummyStandings!$C21)*(Results!$E$3:$E$282&gt;Results!$D$3:$D$282))</f>
        <v>1</v>
      </c>
      <c r="BA21" s="37">
        <f>SUMPRODUCT((Results!$F$3:$F$282=DummyStandings!$C21)*(Results!$E$3:$E$282&lt;Results!$D$3:$D$282))</f>
        <v>6</v>
      </c>
      <c r="BB21" s="37">
        <f>SUMIF(Results!$F$3:$F$282,$C21,Results!$E$3:$E$282)</f>
        <v>83</v>
      </c>
      <c r="BC21" s="37">
        <f>SUMIF(Results!$F$3:$F$282,$C21,Results!$D$3:$D$282)</f>
        <v>125</v>
      </c>
      <c r="BD21" s="44">
        <f t="shared" si="30"/>
        <v>-42</v>
      </c>
      <c r="BE21" s="37">
        <f>INDEX(Teams!$B$5:$H$45,MATCH(DummyStandings!E21,Teams!$G$5:$G$45,0),7)</f>
        <v>37</v>
      </c>
      <c r="BF21" s="272">
        <f t="shared" si="40"/>
        <v>0.22857142857142856</v>
      </c>
      <c r="BG21" s="275">
        <f t="shared" si="31"/>
        <v>0.41142857142857137</v>
      </c>
      <c r="BH21" s="275">
        <f t="shared" si="41"/>
        <v>0.2895238095238095</v>
      </c>
      <c r="BI21" s="34">
        <v>1</v>
      </c>
      <c r="BJ21" s="132">
        <f t="shared" si="32"/>
        <v>30</v>
      </c>
      <c r="BK21" s="35">
        <f t="shared" si="33"/>
        <v>0</v>
      </c>
      <c r="BL21" s="35">
        <f t="shared" si="34"/>
        <v>0</v>
      </c>
      <c r="BM21" s="35">
        <f t="shared" si="35"/>
        <v>0</v>
      </c>
      <c r="BN21" s="35">
        <f t="shared" si="36"/>
        <v>0</v>
      </c>
      <c r="BO21" s="35">
        <f t="shared" si="37"/>
        <v>0</v>
      </c>
      <c r="BP21" s="137">
        <f t="shared" si="38"/>
        <v>0</v>
      </c>
      <c r="BQ21" s="133">
        <f t="shared" si="56"/>
        <v>31</v>
      </c>
      <c r="BR21" s="36">
        <f t="shared" si="57"/>
        <v>-1</v>
      </c>
      <c r="BS21" s="132">
        <f t="shared" si="58"/>
        <v>0</v>
      </c>
      <c r="BT21" s="35">
        <f t="shared" si="39"/>
        <v>30</v>
      </c>
    </row>
    <row r="22" spans="2:72" ht="13.5" thickBot="1">
      <c r="B22" s="139"/>
      <c r="C22" s="162"/>
      <c r="D22" s="138"/>
      <c r="E22" s="166"/>
      <c r="F22" s="130" t="s">
        <v>139</v>
      </c>
      <c r="G22" s="130" t="s">
        <v>139</v>
      </c>
      <c r="H22" s="130" t="s">
        <v>139</v>
      </c>
      <c r="I22" s="130" t="s">
        <v>122</v>
      </c>
      <c r="J22" s="130" t="s">
        <v>122</v>
      </c>
      <c r="K22" s="130" t="s">
        <v>122</v>
      </c>
      <c r="L22" s="130" t="s">
        <v>138</v>
      </c>
      <c r="M22" s="130" t="s">
        <v>138</v>
      </c>
      <c r="N22" s="130" t="s">
        <v>138</v>
      </c>
      <c r="O22" s="130" t="s">
        <v>260</v>
      </c>
      <c r="P22" s="130" t="s">
        <v>260</v>
      </c>
      <c r="Q22" s="130" t="s">
        <v>260</v>
      </c>
      <c r="R22" s="130" t="s">
        <v>101</v>
      </c>
      <c r="S22" s="130" t="s">
        <v>101</v>
      </c>
      <c r="T22" s="130" t="s">
        <v>101</v>
      </c>
      <c r="U22" s="130" t="s">
        <v>100</v>
      </c>
      <c r="V22" s="130" t="s">
        <v>100</v>
      </c>
      <c r="W22" s="130" t="s">
        <v>100</v>
      </c>
      <c r="X22" s="130" t="s">
        <v>133</v>
      </c>
      <c r="Y22" s="130" t="s">
        <v>133</v>
      </c>
      <c r="Z22" s="130" t="s">
        <v>133</v>
      </c>
      <c r="AA22" s="130" t="s">
        <v>147</v>
      </c>
      <c r="AB22" s="130" t="s">
        <v>147</v>
      </c>
      <c r="AC22" s="130" t="s">
        <v>147</v>
      </c>
      <c r="AD22" s="41"/>
      <c r="AE22" s="138"/>
      <c r="AF22" s="138"/>
      <c r="AG22" s="261"/>
      <c r="AH22" s="120"/>
      <c r="AI22" s="138"/>
      <c r="AJ22" s="138"/>
      <c r="AK22" s="138"/>
      <c r="AL22" s="120"/>
      <c r="AM22" s="120"/>
      <c r="AN22" s="120"/>
      <c r="AO22" s="120"/>
      <c r="AP22" s="120"/>
      <c r="AQ22" s="120"/>
      <c r="AR22" s="120"/>
      <c r="AS22" s="38"/>
      <c r="AT22" s="39"/>
      <c r="AU22" s="39"/>
      <c r="AV22" s="39"/>
      <c r="AW22" s="39"/>
      <c r="AX22" s="39"/>
      <c r="AY22" s="269"/>
      <c r="AZ22" s="270"/>
      <c r="BA22" s="270"/>
      <c r="BB22" s="270"/>
      <c r="BC22" s="270"/>
      <c r="BD22" s="271"/>
      <c r="BE22" s="120"/>
      <c r="BF22" s="261"/>
      <c r="BG22" s="268"/>
      <c r="BH22" s="268"/>
      <c r="BI22" s="266"/>
      <c r="BJ22" s="261"/>
      <c r="BK22" s="268"/>
      <c r="BL22" s="268"/>
      <c r="BM22" s="268"/>
      <c r="BN22" s="268"/>
      <c r="BO22" s="268"/>
      <c r="BP22" s="266"/>
      <c r="BQ22" s="266"/>
      <c r="BR22" s="266"/>
      <c r="BS22" s="261"/>
      <c r="BT22" s="267"/>
    </row>
    <row r="23" spans="2:72" ht="12.75">
      <c r="B23" s="131">
        <f>SUM(AF23:AL23)</f>
        <v>26</v>
      </c>
      <c r="C23" s="160" t="str">
        <f>Teams!B22</f>
        <v>Blue University</v>
      </c>
      <c r="D23" s="136" t="str">
        <f>INDEX(Teams!$B$5:$F$45,MATCH(DummyStandings!$C23,Teams!$B$5:$B$45,0),COLUMN()+1)</f>
        <v>Mineral</v>
      </c>
      <c r="E23" s="208" t="str">
        <f>INDEX(Teams!$B$5:$H$45,MATCH(DummyStandings!$C23,Teams!$B$5:$B$45,0),6)</f>
        <v>BLUE</v>
      </c>
      <c r="F23" s="136">
        <f aca="true" t="shared" si="62" ref="F23:F30">IF($E23=F$22,0,IF($AF23=INDEX($B$5:$BD$48,MATCH(F$22,$E$5:$E$48,0),31),1,0))</f>
        <v>0</v>
      </c>
      <c r="G23" s="32">
        <f>IF(G$22=$E23,0,IF(AND(INDEX(Results!$B$2:$AB$282,MATCH(DummyStandings!G$22&amp;DummyStandings!$E23,Results!$K$2:$K$282,0),11)=DummyStandings!$E23,INDEX(Results!$B$2:$AB$282,MATCH(DummyStandings!$E23&amp;DummyStandings!G$22,Results!$K$2:$K$282,0),11)=DummyStandings!$E23),2,IF(INDEX(Results!$B$2:$AB$282,MATCH(DummyStandings!G$22&amp;DummyStandings!$E23,Results!$K$2:$K$282,0),11)=DummyStandings!$E23,1,IF(INDEX(Results!$B$2:$AB$282,MATCH(DummyStandings!$E23&amp;DummyStandings!G$22,Results!$K$2:$K$282,0),11)=DummyStandings!$E23,1,0))))</f>
        <v>0</v>
      </c>
      <c r="H23" s="33">
        <f>IF(H$22=$E23,0,INDEX(Results!$B$2:$O$282,MATCH(DummyStandings!$E23&amp;DummyStandings!H$22,Results!$K$2:$K$282,0),3)-INDEX(Results!$B$2:$O$282,MATCH(DummyStandings!$E23&amp;DummyStandings!H$22,Results!$K$2:$K$282,0),3))</f>
        <v>0</v>
      </c>
      <c r="I23" s="136">
        <f aca="true" t="shared" si="63" ref="I23:I30">IF($E23=I$22,0,IF($AF23=INDEX($B$5:$BD$48,MATCH(I$22,$E$5:$E$48,0),31),1,0))</f>
        <v>1</v>
      </c>
      <c r="J23" s="32">
        <f>IF(J$22=$E23,0,IF(AND(INDEX(Results!$B$2:$AB$282,MATCH(DummyStandings!J$22&amp;DummyStandings!$E23,Results!$K$2:$K$282,0),11)=DummyStandings!$E23,INDEX(Results!$B$2:$AB$282,MATCH(DummyStandings!$E23&amp;DummyStandings!J$22,Results!$K$2:$K$282,0),11)=DummyStandings!$E23),2,IF(INDEX(Results!$B$2:$AB$282,MATCH(DummyStandings!J$22&amp;DummyStandings!$E23,Results!$K$2:$K$282,0),11)=DummyStandings!$E23,1,IF(INDEX(Results!$B$2:$AB$282,MATCH(DummyStandings!$E23&amp;DummyStandings!J$22,Results!$K$2:$K$282,0),11)=DummyStandings!$E23,1,0))))</f>
        <v>2</v>
      </c>
      <c r="K23" s="33">
        <f>IF(K$22=$E23,0,INDEX(Results!$B$2:$O$282,MATCH(DummyStandings!$E23&amp;DummyStandings!K$22,Results!$K$2:$K$282,0),3)-INDEX(Results!$B$2:$O$282,MATCH(DummyStandings!$E23&amp;DummyStandings!K$22,Results!$K$2:$K$282,0),3))</f>
        <v>0</v>
      </c>
      <c r="L23" s="136">
        <f aca="true" t="shared" si="64" ref="L23:L30">IF($E23=L$22,0,IF($AF23=INDEX($B$5:$BD$48,MATCH(L$22,$E$5:$E$48,0),31),1,0))</f>
        <v>0</v>
      </c>
      <c r="M23" s="32">
        <f>IF(M$22=$E23,0,IF(AND(INDEX(Results!$B$2:$AB$282,MATCH(DummyStandings!M$22&amp;DummyStandings!$E23,Results!$K$2:$K$282,0),11)=DummyStandings!$E23,INDEX(Results!$B$2:$AB$282,MATCH(DummyStandings!$E23&amp;DummyStandings!M$22,Results!$K$2:$K$282,0),11)=DummyStandings!$E23),2,IF(INDEX(Results!$B$2:$AB$282,MATCH(DummyStandings!M$22&amp;DummyStandings!$E23,Results!$K$2:$K$282,0),11)=DummyStandings!$E23,1,IF(INDEX(Results!$B$2:$AB$282,MATCH(DummyStandings!$E23&amp;DummyStandings!M$22,Results!$K$2:$K$282,0),11)=DummyStandings!$E23,1,0))))</f>
        <v>2</v>
      </c>
      <c r="N23" s="33">
        <f>IF(N$22=$E23,0,INDEX(Results!$B$2:$O$282,MATCH(DummyStandings!$E23&amp;DummyStandings!N$22,Results!$K$2:$K$282,0),3)-INDEX(Results!$B$2:$O$282,MATCH(DummyStandings!$E23&amp;DummyStandings!N$22,Results!$K$2:$K$282,0),3))</f>
        <v>0</v>
      </c>
      <c r="O23" s="136">
        <f aca="true" t="shared" si="65" ref="O23:O30">IF($E23=O$22,0,IF($AF23=INDEX($B$5:$BD$48,MATCH(O$22,$E$5:$E$48,0),31),1,0))</f>
        <v>1</v>
      </c>
      <c r="P23" s="32">
        <f>IF(P$22=$E23,0,IF(AND(INDEX(Results!$B$2:$AB$282,MATCH(DummyStandings!P$22&amp;DummyStandings!$E23,Results!$K$2:$K$282,0),11)=DummyStandings!$E23,INDEX(Results!$B$2:$AB$282,MATCH(DummyStandings!$E23&amp;DummyStandings!P$22,Results!$K$2:$K$282,0),11)=DummyStandings!$E23),2,IF(INDEX(Results!$B$2:$AB$282,MATCH(DummyStandings!P$22&amp;DummyStandings!$E23,Results!$K$2:$K$282,0),11)=DummyStandings!$E23,1,IF(INDEX(Results!$B$2:$AB$282,MATCH(DummyStandings!$E23&amp;DummyStandings!P$22,Results!$K$2:$K$282,0),11)=DummyStandings!$E23,1,0))))</f>
        <v>0</v>
      </c>
      <c r="Q23" s="33">
        <f>IF(Q$22=$E23,0,INDEX(Results!$B$2:$O$282,MATCH(DummyStandings!$E23&amp;DummyStandings!Q$22,Results!$K$2:$K$282,0),3)-INDEX(Results!$B$2:$O$282,MATCH(DummyStandings!$E23&amp;DummyStandings!Q$22,Results!$K$2:$K$282,0),3))</f>
        <v>0</v>
      </c>
      <c r="R23" s="136">
        <f aca="true" t="shared" si="66" ref="R23:R30">IF($E23=R$22,0,IF($AF23=INDEX($B$5:$BD$48,MATCH(R$22,$E$5:$E$48,0),31),1,0))</f>
        <v>0</v>
      </c>
      <c r="S23" s="32">
        <f>IF(S$22=$E23,0,IF(AND(INDEX(Results!$B$2:$AB$282,MATCH(DummyStandings!S$22&amp;DummyStandings!$E23,Results!$K$2:$K$282,0),11)=DummyStandings!$E23,INDEX(Results!$B$2:$AB$282,MATCH(DummyStandings!$E23&amp;DummyStandings!S$22,Results!$K$2:$K$282,0),11)=DummyStandings!$E23),2,IF(INDEX(Results!$B$2:$AB$282,MATCH(DummyStandings!S$22&amp;DummyStandings!$E23,Results!$K$2:$K$282,0),11)=DummyStandings!$E23,1,IF(INDEX(Results!$B$2:$AB$282,MATCH(DummyStandings!$E23&amp;DummyStandings!S$22,Results!$K$2:$K$282,0),11)=DummyStandings!$E23,1,0))))</f>
        <v>0</v>
      </c>
      <c r="T23" s="33">
        <f>IF(T$22=$E23,0,INDEX(Results!$B$2:$O$282,MATCH(DummyStandings!$E23&amp;DummyStandings!T$22,Results!$K$2:$K$282,0),3)-INDEX(Results!$B$2:$O$282,MATCH(DummyStandings!$E23&amp;DummyStandings!T$22,Results!$K$2:$K$282,0),3))</f>
        <v>0</v>
      </c>
      <c r="U23" s="136">
        <f aca="true" t="shared" si="67" ref="U23:U30">IF($E23=U$22,0,IF($AF23=INDEX($B$5:$BD$48,MATCH(U$22,$E$5:$E$48,0),31),1,0))</f>
        <v>0</v>
      </c>
      <c r="V23" s="32">
        <f>IF(V$22=$E23,0,IF(AND(INDEX(Results!$B$2:$AB$282,MATCH(DummyStandings!V$22&amp;DummyStandings!$E23,Results!$K$2:$K$282,0),11)=DummyStandings!$E23,INDEX(Results!$B$2:$AB$282,MATCH(DummyStandings!$E23&amp;DummyStandings!V$22,Results!$K$2:$K$282,0),11)=DummyStandings!$E23),2,IF(INDEX(Results!$B$2:$AB$282,MATCH(DummyStandings!V$22&amp;DummyStandings!$E23,Results!$K$2:$K$282,0),11)=DummyStandings!$E23,1,IF(INDEX(Results!$B$2:$AB$282,MATCH(DummyStandings!$E23&amp;DummyStandings!V$22,Results!$K$2:$K$282,0),11)=DummyStandings!$E23,1,0))))</f>
        <v>0</v>
      </c>
      <c r="W23" s="33">
        <f>IF(W$22=$E23,0,INDEX(Results!$B$2:$O$282,MATCH(DummyStandings!$E23&amp;DummyStandings!W$22,Results!$K$2:$K$282,0),3)-INDEX(Results!$B$2:$O$282,MATCH(DummyStandings!$E23&amp;DummyStandings!W$22,Results!$K$2:$K$282,0),3))</f>
        <v>0</v>
      </c>
      <c r="X23" s="136">
        <f aca="true" t="shared" si="68" ref="X23:X30">IF($E23=X$22,0,IF($AF23=INDEX($B$5:$BD$48,MATCH(X$22,$E$5:$E$48,0),31),1,0))</f>
        <v>0</v>
      </c>
      <c r="Y23" s="32">
        <f>IF(Y$22=$E23,0,IF(AND(INDEX(Results!$B$2:$AB$282,MATCH(DummyStandings!Y$22&amp;DummyStandings!$E23,Results!$K$2:$K$282,0),11)=DummyStandings!$E23,INDEX(Results!$B$2:$AB$282,MATCH(DummyStandings!$E23&amp;DummyStandings!Y$22,Results!$K$2:$K$282,0),11)=DummyStandings!$E23),2,IF(INDEX(Results!$B$2:$AB$282,MATCH(DummyStandings!Y$22&amp;DummyStandings!$E23,Results!$K$2:$K$282,0),11)=DummyStandings!$E23,1,IF(INDEX(Results!$B$2:$AB$282,MATCH(DummyStandings!$E23&amp;DummyStandings!Y$22,Results!$K$2:$K$282,0),11)=DummyStandings!$E23,1,0))))</f>
        <v>0</v>
      </c>
      <c r="Z23" s="33">
        <f>IF(Z$22=$E23,0,INDEX(Results!$B$2:$O$282,MATCH(DummyStandings!$E23&amp;DummyStandings!Z$22,Results!$K$2:$K$282,0),3)-INDEX(Results!$B$2:$O$282,MATCH(DummyStandings!$E23&amp;DummyStandings!Z$22,Results!$K$2:$K$282,0),3))</f>
        <v>0</v>
      </c>
      <c r="AA23" s="136">
        <f aca="true" t="shared" si="69" ref="AA23:AA30">IF($E23=AA$22,0,IF($AF23=INDEX($B$5:$BD$48,MATCH(AA$22,$E$5:$E$48,0),31),1,0))</f>
        <v>1</v>
      </c>
      <c r="AB23" s="32">
        <f>IF(AB$22=$E23,0,IF(AND(INDEX(Results!$B$2:$AB$282,MATCH(DummyStandings!AB$22&amp;DummyStandings!$E23,Results!$K$2:$K$282,0),11)=DummyStandings!$E23,INDEX(Results!$B$2:$AB$282,MATCH(DummyStandings!$E23&amp;DummyStandings!AB$22,Results!$K$2:$K$282,0),11)=DummyStandings!$E23),2,IF(INDEX(Results!$B$2:$AB$282,MATCH(DummyStandings!AB$22&amp;DummyStandings!$E23,Results!$K$2:$K$282,0),11)=DummyStandings!$E23,1,IF(INDEX(Results!$B$2:$AB$282,MATCH(DummyStandings!$E23&amp;DummyStandings!AB$22,Results!$K$2:$K$282,0),11)=DummyStandings!$E23,1,0))))</f>
        <v>1</v>
      </c>
      <c r="AC23" s="33">
        <f>IF(AC$22=$E23,0,INDEX(Results!$B$2:$O$282,MATCH(DummyStandings!$E23&amp;DummyStandings!AC$22,Results!$K$2:$K$282,0),3)-INDEX(Results!$B$2:$O$282,MATCH(DummyStandings!$E23&amp;DummyStandings!AC$22,Results!$K$2:$K$282,0),3))</f>
        <v>0</v>
      </c>
      <c r="AD23" s="131">
        <f>($F23*G23)+($I23*J23)+($L23*M23)+($O23*P23)+($R23*S23)+($U23*V23)+($X23*Y23)</f>
        <v>2</v>
      </c>
      <c r="AE23" s="136">
        <f>($F23*H23)+($I23*K23)+($L23*N23)+($O23*Q23)+($R23*T23)+($U23*W23)+($X23*Z23)</f>
        <v>0</v>
      </c>
      <c r="AF23" s="136">
        <f aca="true" t="shared" si="70" ref="AF23:AF30">RANK($AN23,$AN$5:$AN$48)</f>
        <v>24</v>
      </c>
      <c r="AG23" s="132">
        <f t="shared" si="19"/>
        <v>1</v>
      </c>
      <c r="AH23" s="32">
        <f aca="true" t="shared" si="71" ref="AH23:AH30">SUMPRODUCT(($AF23=$AF$5:$AF$48)*($AD23=$AD$5:$AD$48)*($AE23&lt;$AE$5:$AE$48))</f>
        <v>0</v>
      </c>
      <c r="AI23" s="136">
        <f aca="true" t="shared" si="72" ref="AI23:AI30">SUMPRODUCT(($AF$5:$AF$48=$AF23)*($AG$5:$AG$48=$AG23)*($AH$5:$AH$48=$AH23)*($AR$5:$AR$48&gt;$AR23))</f>
        <v>1</v>
      </c>
      <c r="AJ23" s="136">
        <f aca="true" t="shared" si="73" ref="AJ23:AJ30">SUMPRODUCT(($AF$5:$AF$48=$AF23)*($AG$5:$AG$48=$AG23)*($AH$5:$AH$48=$AH23)*($AI$5:$AI$48=$AI23)*($AP$5:$AP$48&gt;$AP23))</f>
        <v>0</v>
      </c>
      <c r="AK23" s="136">
        <f aca="true" t="shared" si="74" ref="AK23:AK30">SUMPRODUCT(($AF$5:$AF$48=$AF23)*($AG$5:$AG$48=$AG23)*($AH$5:$AH$48=$AH23)*($AI$5:$AI$48=$AI23)*($AJ$5:$AJ$48=$AJ23)*($BB$5:$BB$48&gt;$BB23))</f>
        <v>0</v>
      </c>
      <c r="AL23" s="131">
        <f t="shared" si="20"/>
        <v>0</v>
      </c>
      <c r="AM23" s="32">
        <f t="shared" si="21"/>
        <v>14</v>
      </c>
      <c r="AN23" s="32">
        <f t="shared" si="22"/>
        <v>5</v>
      </c>
      <c r="AO23" s="32">
        <f t="shared" si="23"/>
        <v>9</v>
      </c>
      <c r="AP23" s="32">
        <f t="shared" si="24"/>
        <v>204</v>
      </c>
      <c r="AQ23" s="32">
        <f t="shared" si="25"/>
        <v>262</v>
      </c>
      <c r="AR23" s="32">
        <f t="shared" si="26"/>
        <v>-58</v>
      </c>
      <c r="AS23" s="136">
        <f t="shared" si="27"/>
        <v>7</v>
      </c>
      <c r="AT23" s="32">
        <f>SUMPRODUCT((Results!$C$3:$C$282=DummyStandings!$C23)*(Results!$D$3:$D$282&gt;Results!$E$3:$E$282))</f>
        <v>3</v>
      </c>
      <c r="AU23" s="32">
        <f>SUMPRODUCT((Results!$C$3:$C$282=DummyStandings!$C23)*(Results!$D$3:$D$282&lt;Results!$E$3:$E$282))</f>
        <v>4</v>
      </c>
      <c r="AV23" s="32">
        <f>SUMIF(Results!$C$3:$C$282,$C23,Results!$D$3:$D$282)</f>
        <v>123</v>
      </c>
      <c r="AW23" s="32">
        <f>SUMIF(Results!$C$3:$C$282,$C23,Results!$E$3:$E$282)</f>
        <v>122</v>
      </c>
      <c r="AX23" s="32">
        <f t="shared" si="28"/>
        <v>1</v>
      </c>
      <c r="AY23" s="137">
        <f t="shared" si="29"/>
        <v>7</v>
      </c>
      <c r="AZ23" s="34">
        <f>SUMPRODUCT((Results!$F$3:$F$282=DummyStandings!$C23)*(Results!$E$3:$E$282&gt;Results!$D$3:$D$282))</f>
        <v>2</v>
      </c>
      <c r="BA23" s="34">
        <f>SUMPRODUCT((Results!$F$3:$F$282=DummyStandings!$C23)*(Results!$E$3:$E$282&lt;Results!$D$3:$D$282))</f>
        <v>5</v>
      </c>
      <c r="BB23" s="34">
        <f>SUMIF(Results!$F$3:$F$282,$C23,Results!$E$3:$E$282)</f>
        <v>81</v>
      </c>
      <c r="BC23" s="34">
        <f>SUMIF(Results!$F$3:$F$282,$C23,Results!$D$3:$D$282)</f>
        <v>140</v>
      </c>
      <c r="BD23" s="35">
        <f t="shared" si="30"/>
        <v>-59</v>
      </c>
      <c r="BE23" s="32">
        <f>INDEX(Teams!$B$5:$H$45,MATCH(DummyStandings!E23,Teams!$G$5:$G$45,0),7)</f>
        <v>19</v>
      </c>
      <c r="BF23" s="272">
        <f t="shared" si="40"/>
        <v>0.32857142857142857</v>
      </c>
      <c r="BG23" s="275">
        <f t="shared" si="31"/>
        <v>0.3785714285714286</v>
      </c>
      <c r="BH23" s="275">
        <f t="shared" si="41"/>
        <v>0.3452380952380953</v>
      </c>
      <c r="BI23" s="34">
        <v>1</v>
      </c>
      <c r="BJ23" s="132">
        <f t="shared" si="32"/>
        <v>25</v>
      </c>
      <c r="BK23" s="35">
        <f t="shared" si="33"/>
        <v>1</v>
      </c>
      <c r="BL23" s="35">
        <f t="shared" si="34"/>
        <v>0</v>
      </c>
      <c r="BM23" s="35">
        <f t="shared" si="35"/>
        <v>1</v>
      </c>
      <c r="BN23" s="35">
        <f t="shared" si="36"/>
        <v>0</v>
      </c>
      <c r="BO23" s="35">
        <f t="shared" si="37"/>
        <v>0</v>
      </c>
      <c r="BP23" s="137">
        <f t="shared" si="38"/>
        <v>0</v>
      </c>
      <c r="BQ23" s="131">
        <f aca="true" t="shared" si="75" ref="BQ23:BQ30">SUM(BI23:BP23)</f>
        <v>28</v>
      </c>
      <c r="BR23" s="136">
        <f aca="true" t="shared" si="76" ref="BR23:BR30">B23-BQ23</f>
        <v>-2</v>
      </c>
      <c r="BS23" s="132">
        <f aca="true" t="shared" si="77" ref="BS23:BS30">SUMPRODUCT(($AF$5:$AF$48=$AF23)*($AR$5:$AR$48&gt;$AR23))</f>
        <v>3</v>
      </c>
      <c r="BT23" s="35">
        <f t="shared" si="39"/>
        <v>27</v>
      </c>
    </row>
    <row r="24" spans="2:72" ht="12.75">
      <c r="B24" s="132">
        <f aca="true" t="shared" si="78" ref="B24:B30">SUM(AF24:AL24)</f>
        <v>25</v>
      </c>
      <c r="C24" s="161" t="str">
        <f>Teams!B23</f>
        <v>Caroga University</v>
      </c>
      <c r="D24" s="137" t="str">
        <f>INDEX(Teams!$B$5:$F$45,MATCH(DummyStandings!$C24,Teams!$B$5:$B$45,0),COLUMN()+1)</f>
        <v>Mineral</v>
      </c>
      <c r="E24" s="165" t="str">
        <f>INDEX(Teams!$B$5:$H$45,MATCH(DummyStandings!$C24,Teams!$B$5:$B$45,0),6)</f>
        <v>CRGA</v>
      </c>
      <c r="F24" s="137">
        <f t="shared" si="62"/>
        <v>1</v>
      </c>
      <c r="G24" s="34">
        <f>IF(G$22=$E24,0,IF(AND(INDEX(Results!$B$2:$AB$282,MATCH(DummyStandings!G$22&amp;DummyStandings!$E24,Results!$K$2:$K$282,0),11)=DummyStandings!$E24,INDEX(Results!$B$2:$AB$282,MATCH(DummyStandings!$E24&amp;DummyStandings!G$22,Results!$K$2:$K$282,0),11)=DummyStandings!$E24),2,IF(INDEX(Results!$B$2:$AB$282,MATCH(DummyStandings!G$22&amp;DummyStandings!$E24,Results!$K$2:$K$282,0),11)=DummyStandings!$E24,1,IF(INDEX(Results!$B$2:$AB$282,MATCH(DummyStandings!$E24&amp;DummyStandings!G$22,Results!$K$2:$K$282,0),11)=DummyStandings!$E24,1,0))))</f>
        <v>0</v>
      </c>
      <c r="H24" s="35">
        <f>IF(H$22=$E24,0,INDEX(Results!$B$2:$O$282,MATCH(DummyStandings!$E24&amp;DummyStandings!H$22,Results!$K$2:$K$282,0),3)-INDEX(Results!$B$2:$O$282,MATCH(DummyStandings!$E24&amp;DummyStandings!H$22,Results!$K$2:$K$282,0),3))</f>
        <v>0</v>
      </c>
      <c r="I24" s="137">
        <f t="shared" si="63"/>
        <v>0</v>
      </c>
      <c r="J24" s="34">
        <f>IF(J$22=$E24,0,IF(AND(INDEX(Results!$B$2:$AB$282,MATCH(DummyStandings!J$22&amp;DummyStandings!$E24,Results!$K$2:$K$282,0),11)=DummyStandings!$E24,INDEX(Results!$B$2:$AB$282,MATCH(DummyStandings!$E24&amp;DummyStandings!J$22,Results!$K$2:$K$282,0),11)=DummyStandings!$E24),2,IF(INDEX(Results!$B$2:$AB$282,MATCH(DummyStandings!J$22&amp;DummyStandings!$E24,Results!$K$2:$K$282,0),11)=DummyStandings!$E24,1,IF(INDEX(Results!$B$2:$AB$282,MATCH(DummyStandings!$E24&amp;DummyStandings!J$22,Results!$K$2:$K$282,0),11)=DummyStandings!$E24,1,0))))</f>
        <v>0</v>
      </c>
      <c r="K24" s="35">
        <f>IF(K$22=$E24,0,INDEX(Results!$B$2:$O$282,MATCH(DummyStandings!$E24&amp;DummyStandings!K$22,Results!$K$2:$K$282,0),3)-INDEX(Results!$B$2:$O$282,MATCH(DummyStandings!$E24&amp;DummyStandings!K$22,Results!$K$2:$K$282,0),3))</f>
        <v>0</v>
      </c>
      <c r="L24" s="137">
        <f t="shared" si="64"/>
        <v>0</v>
      </c>
      <c r="M24" s="34">
        <f>IF(M$22=$E24,0,IF(AND(INDEX(Results!$B$2:$AB$282,MATCH(DummyStandings!M$22&amp;DummyStandings!$E24,Results!$K$2:$K$282,0),11)=DummyStandings!$E24,INDEX(Results!$B$2:$AB$282,MATCH(DummyStandings!$E24&amp;DummyStandings!M$22,Results!$K$2:$K$282,0),11)=DummyStandings!$E24),2,IF(INDEX(Results!$B$2:$AB$282,MATCH(DummyStandings!M$22&amp;DummyStandings!$E24,Results!$K$2:$K$282,0),11)=DummyStandings!$E24,1,IF(INDEX(Results!$B$2:$AB$282,MATCH(DummyStandings!$E24&amp;DummyStandings!M$22,Results!$K$2:$K$282,0),11)=DummyStandings!$E24,1,0))))</f>
        <v>1</v>
      </c>
      <c r="N24" s="35">
        <f>IF(N$22=$E24,0,INDEX(Results!$B$2:$O$282,MATCH(DummyStandings!$E24&amp;DummyStandings!N$22,Results!$K$2:$K$282,0),3)-INDEX(Results!$B$2:$O$282,MATCH(DummyStandings!$E24&amp;DummyStandings!N$22,Results!$K$2:$K$282,0),3))</f>
        <v>0</v>
      </c>
      <c r="O24" s="137">
        <f t="shared" si="65"/>
        <v>1</v>
      </c>
      <c r="P24" s="34">
        <f>IF(P$22=$E24,0,IF(AND(INDEX(Results!$B$2:$AB$282,MATCH(DummyStandings!P$22&amp;DummyStandings!$E24,Results!$K$2:$K$282,0),11)=DummyStandings!$E24,INDEX(Results!$B$2:$AB$282,MATCH(DummyStandings!$E24&amp;DummyStandings!P$22,Results!$K$2:$K$282,0),11)=DummyStandings!$E24),2,IF(INDEX(Results!$B$2:$AB$282,MATCH(DummyStandings!P$22&amp;DummyStandings!$E24,Results!$K$2:$K$282,0),11)=DummyStandings!$E24,1,IF(INDEX(Results!$B$2:$AB$282,MATCH(DummyStandings!$E24&amp;DummyStandings!P$22,Results!$K$2:$K$282,0),11)=DummyStandings!$E24,1,0))))</f>
        <v>2</v>
      </c>
      <c r="Q24" s="35">
        <f>IF(Q$22=$E24,0,INDEX(Results!$B$2:$O$282,MATCH(DummyStandings!$E24&amp;DummyStandings!Q$22,Results!$K$2:$K$282,0),3)-INDEX(Results!$B$2:$O$282,MATCH(DummyStandings!$E24&amp;DummyStandings!Q$22,Results!$K$2:$K$282,0),3))</f>
        <v>0</v>
      </c>
      <c r="R24" s="137">
        <f t="shared" si="66"/>
        <v>0</v>
      </c>
      <c r="S24" s="34">
        <f>IF(S$22=$E24,0,IF(AND(INDEX(Results!$B$2:$AB$282,MATCH(DummyStandings!S$22&amp;DummyStandings!$E24,Results!$K$2:$K$282,0),11)=DummyStandings!$E24,INDEX(Results!$B$2:$AB$282,MATCH(DummyStandings!$E24&amp;DummyStandings!S$22,Results!$K$2:$K$282,0),11)=DummyStandings!$E24),2,IF(INDEX(Results!$B$2:$AB$282,MATCH(DummyStandings!S$22&amp;DummyStandings!$E24,Results!$K$2:$K$282,0),11)=DummyStandings!$E24,1,IF(INDEX(Results!$B$2:$AB$282,MATCH(DummyStandings!$E24&amp;DummyStandings!S$22,Results!$K$2:$K$282,0),11)=DummyStandings!$E24,1,0))))</f>
        <v>0</v>
      </c>
      <c r="T24" s="35">
        <f>IF(T$22=$E24,0,INDEX(Results!$B$2:$O$282,MATCH(DummyStandings!$E24&amp;DummyStandings!T$22,Results!$K$2:$K$282,0),3)-INDEX(Results!$B$2:$O$282,MATCH(DummyStandings!$E24&amp;DummyStandings!T$22,Results!$K$2:$K$282,0),3))</f>
        <v>0</v>
      </c>
      <c r="U24" s="137">
        <f t="shared" si="67"/>
        <v>0</v>
      </c>
      <c r="V24" s="34">
        <f>IF(V$22=$E24,0,IF(AND(INDEX(Results!$B$2:$AB$282,MATCH(DummyStandings!V$22&amp;DummyStandings!$E24,Results!$K$2:$K$282,0),11)=DummyStandings!$E24,INDEX(Results!$B$2:$AB$282,MATCH(DummyStandings!$E24&amp;DummyStandings!V$22,Results!$K$2:$K$282,0),11)=DummyStandings!$E24),2,IF(INDEX(Results!$B$2:$AB$282,MATCH(DummyStandings!V$22&amp;DummyStandings!$E24,Results!$K$2:$K$282,0),11)=DummyStandings!$E24,1,IF(INDEX(Results!$B$2:$AB$282,MATCH(DummyStandings!$E24&amp;DummyStandings!V$22,Results!$K$2:$K$282,0),11)=DummyStandings!$E24,1,0))))</f>
        <v>0</v>
      </c>
      <c r="W24" s="35">
        <f>IF(W$22=$E24,0,INDEX(Results!$B$2:$O$282,MATCH(DummyStandings!$E24&amp;DummyStandings!W$22,Results!$K$2:$K$282,0),3)-INDEX(Results!$B$2:$O$282,MATCH(DummyStandings!$E24&amp;DummyStandings!W$22,Results!$K$2:$K$282,0),3))</f>
        <v>0</v>
      </c>
      <c r="X24" s="137">
        <f t="shared" si="68"/>
        <v>0</v>
      </c>
      <c r="Y24" s="34">
        <f>IF(Y$22=$E24,0,IF(AND(INDEX(Results!$B$2:$AB$282,MATCH(DummyStandings!Y$22&amp;DummyStandings!$E24,Results!$K$2:$K$282,0),11)=DummyStandings!$E24,INDEX(Results!$B$2:$AB$282,MATCH(DummyStandings!$E24&amp;DummyStandings!Y$22,Results!$K$2:$K$282,0),11)=DummyStandings!$E24),2,IF(INDEX(Results!$B$2:$AB$282,MATCH(DummyStandings!Y$22&amp;DummyStandings!$E24,Results!$K$2:$K$282,0),11)=DummyStandings!$E24,1,IF(INDEX(Results!$B$2:$AB$282,MATCH(DummyStandings!$E24&amp;DummyStandings!Y$22,Results!$K$2:$K$282,0),11)=DummyStandings!$E24,1,0))))</f>
        <v>2</v>
      </c>
      <c r="Z24" s="35">
        <f>IF(Z$22=$E24,0,INDEX(Results!$B$2:$O$282,MATCH(DummyStandings!$E24&amp;DummyStandings!Z$22,Results!$K$2:$K$282,0),3)-INDEX(Results!$B$2:$O$282,MATCH(DummyStandings!$E24&amp;DummyStandings!Z$22,Results!$K$2:$K$282,0),3))</f>
        <v>0</v>
      </c>
      <c r="AA24" s="137">
        <f t="shared" si="69"/>
        <v>1</v>
      </c>
      <c r="AB24" s="34">
        <f>IF(AB$22=$E24,0,IF(AND(INDEX(Results!$B$2:$AB$282,MATCH(DummyStandings!AB$22&amp;DummyStandings!$E24,Results!$K$2:$K$282,0),11)=DummyStandings!$E24,INDEX(Results!$B$2:$AB$282,MATCH(DummyStandings!$E24&amp;DummyStandings!AB$22,Results!$K$2:$K$282,0),11)=DummyStandings!$E24),2,IF(INDEX(Results!$B$2:$AB$282,MATCH(DummyStandings!AB$22&amp;DummyStandings!$E24,Results!$K$2:$K$282,0),11)=DummyStandings!$E24,1,IF(INDEX(Results!$B$2:$AB$282,MATCH(DummyStandings!$E24&amp;DummyStandings!AB$22,Results!$K$2:$K$282,0),11)=DummyStandings!$E24,1,0))))</f>
        <v>0</v>
      </c>
      <c r="AC24" s="35">
        <f>IF(AC$22=$E24,0,INDEX(Results!$B$2:$O$282,MATCH(DummyStandings!$E24&amp;DummyStandings!AC$22,Results!$K$2:$K$282,0),3)-INDEX(Results!$B$2:$O$282,MATCH(DummyStandings!$E24&amp;DummyStandings!AC$22,Results!$K$2:$K$282,0),3))</f>
        <v>0</v>
      </c>
      <c r="AD24" s="132">
        <f aca="true" t="shared" si="79" ref="AD24:AE29">($F24*G24)+($I24*J24)+($L24*M24)+($O24*P24)+($R24*S24)+($U24*V24)+($X24*Y24)</f>
        <v>2</v>
      </c>
      <c r="AE24" s="137">
        <f t="shared" si="79"/>
        <v>0</v>
      </c>
      <c r="AF24" s="137">
        <f t="shared" si="70"/>
        <v>24</v>
      </c>
      <c r="AG24" s="132">
        <f t="shared" si="19"/>
        <v>1</v>
      </c>
      <c r="AH24" s="34">
        <f t="shared" si="71"/>
        <v>0</v>
      </c>
      <c r="AI24" s="137">
        <f t="shared" si="72"/>
        <v>0</v>
      </c>
      <c r="AJ24" s="137">
        <f t="shared" si="73"/>
        <v>0</v>
      </c>
      <c r="AK24" s="137">
        <f t="shared" si="74"/>
        <v>0</v>
      </c>
      <c r="AL24" s="132">
        <f t="shared" si="20"/>
        <v>0</v>
      </c>
      <c r="AM24" s="34">
        <f t="shared" si="21"/>
        <v>14</v>
      </c>
      <c r="AN24" s="34">
        <f t="shared" si="22"/>
        <v>5</v>
      </c>
      <c r="AO24" s="34">
        <f t="shared" si="23"/>
        <v>9</v>
      </c>
      <c r="AP24" s="34">
        <f t="shared" si="24"/>
        <v>176</v>
      </c>
      <c r="AQ24" s="34">
        <f t="shared" si="25"/>
        <v>231</v>
      </c>
      <c r="AR24" s="34">
        <f t="shared" si="26"/>
        <v>-55</v>
      </c>
      <c r="AS24" s="137">
        <f t="shared" si="27"/>
        <v>7</v>
      </c>
      <c r="AT24" s="34">
        <f>SUMPRODUCT((Results!$C$3:$C$282=DummyStandings!$C24)*(Results!$D$3:$D$282&gt;Results!$E$3:$E$282))</f>
        <v>3</v>
      </c>
      <c r="AU24" s="34">
        <f>SUMPRODUCT((Results!$C$3:$C$282=DummyStandings!$C24)*(Results!$D$3:$D$282&lt;Results!$E$3:$E$282))</f>
        <v>4</v>
      </c>
      <c r="AV24" s="34">
        <f>SUMIF(Results!$C$3:$C$282,$C24,Results!$D$3:$D$282)</f>
        <v>99</v>
      </c>
      <c r="AW24" s="34">
        <f>SUMIF(Results!$C$3:$C$282,$C24,Results!$E$3:$E$282)</f>
        <v>93</v>
      </c>
      <c r="AX24" s="34">
        <f t="shared" si="28"/>
        <v>6</v>
      </c>
      <c r="AY24" s="137">
        <f t="shared" si="29"/>
        <v>7</v>
      </c>
      <c r="AZ24" s="34">
        <f>SUMPRODUCT((Results!$F$3:$F$282=DummyStandings!$C24)*(Results!$E$3:$E$282&gt;Results!$D$3:$D$282))</f>
        <v>2</v>
      </c>
      <c r="BA24" s="34">
        <f>SUMPRODUCT((Results!$F$3:$F$282=DummyStandings!$C24)*(Results!$E$3:$E$282&lt;Results!$D$3:$D$282))</f>
        <v>5</v>
      </c>
      <c r="BB24" s="34">
        <f>SUMIF(Results!$F$3:$F$282,$C24,Results!$E$3:$E$282)</f>
        <v>77</v>
      </c>
      <c r="BC24" s="34">
        <f>SUMIF(Results!$F$3:$F$282,$C24,Results!$D$3:$D$282)</f>
        <v>138</v>
      </c>
      <c r="BD24" s="35">
        <f t="shared" si="30"/>
        <v>-61</v>
      </c>
      <c r="BE24" s="34">
        <f>INDEX(Teams!$B$5:$H$45,MATCH(DummyStandings!E24,Teams!$G$5:$G$45,0),7)</f>
        <v>21</v>
      </c>
      <c r="BF24" s="272">
        <f t="shared" si="40"/>
        <v>0.32857142857142857</v>
      </c>
      <c r="BG24" s="275">
        <f t="shared" si="31"/>
        <v>0.3785714285714286</v>
      </c>
      <c r="BH24" s="275">
        <f t="shared" si="41"/>
        <v>0.3452380952380953</v>
      </c>
      <c r="BI24" s="34">
        <v>1</v>
      </c>
      <c r="BJ24" s="132">
        <f t="shared" si="32"/>
        <v>25</v>
      </c>
      <c r="BK24" s="35">
        <f t="shared" si="33"/>
        <v>1</v>
      </c>
      <c r="BL24" s="35">
        <f t="shared" si="34"/>
        <v>0</v>
      </c>
      <c r="BM24" s="35">
        <f t="shared" si="35"/>
        <v>0</v>
      </c>
      <c r="BN24" s="35">
        <f t="shared" si="36"/>
        <v>0</v>
      </c>
      <c r="BO24" s="35">
        <f t="shared" si="37"/>
        <v>0</v>
      </c>
      <c r="BP24" s="137">
        <f t="shared" si="38"/>
        <v>0</v>
      </c>
      <c r="BQ24" s="132">
        <f t="shared" si="75"/>
        <v>27</v>
      </c>
      <c r="BR24" s="137">
        <f t="shared" si="76"/>
        <v>-2</v>
      </c>
      <c r="BS24" s="132">
        <f t="shared" si="77"/>
        <v>2</v>
      </c>
      <c r="BT24" s="35">
        <f t="shared" si="39"/>
        <v>26</v>
      </c>
    </row>
    <row r="25" spans="2:72" ht="12.75">
      <c r="B25" s="132">
        <f t="shared" si="78"/>
        <v>20</v>
      </c>
      <c r="C25" s="161" t="str">
        <f>Teams!B24</f>
        <v>East Kilbride University</v>
      </c>
      <c r="D25" s="137" t="str">
        <f>INDEX(Teams!$B$5:$F$45,MATCH(DummyStandings!$C25,Teams!$B$5:$B$45,0),COLUMN()+1)</f>
        <v>Mineral</v>
      </c>
      <c r="E25" s="165" t="str">
        <f>INDEX(Teams!$B$5:$H$45,MATCH(DummyStandings!$C25,Teams!$B$5:$B$45,0),6)</f>
        <v>EKIL</v>
      </c>
      <c r="F25" s="137">
        <f t="shared" si="62"/>
        <v>0</v>
      </c>
      <c r="G25" s="34">
        <f>IF(G$22=$E25,0,IF(AND(INDEX(Results!$B$2:$AB$282,MATCH(DummyStandings!G$22&amp;DummyStandings!$E25,Results!$K$2:$K$282,0),11)=DummyStandings!$E25,INDEX(Results!$B$2:$AB$282,MATCH(DummyStandings!$E25&amp;DummyStandings!G$22,Results!$K$2:$K$282,0),11)=DummyStandings!$E25),2,IF(INDEX(Results!$B$2:$AB$282,MATCH(DummyStandings!G$22&amp;DummyStandings!$E25,Results!$K$2:$K$282,0),11)=DummyStandings!$E25,1,IF(INDEX(Results!$B$2:$AB$282,MATCH(DummyStandings!$E25&amp;DummyStandings!G$22,Results!$K$2:$K$282,0),11)=DummyStandings!$E25,1,0))))</f>
        <v>0</v>
      </c>
      <c r="H25" s="35">
        <f>IF(H$22=$E25,0,INDEX(Results!$B$2:$O$282,MATCH(DummyStandings!$E25&amp;DummyStandings!H$22,Results!$K$2:$K$282,0),3)-INDEX(Results!$B$2:$O$282,MATCH(DummyStandings!$E25&amp;DummyStandings!H$22,Results!$K$2:$K$282,0),3))</f>
        <v>0</v>
      </c>
      <c r="I25" s="137">
        <f t="shared" si="63"/>
        <v>0</v>
      </c>
      <c r="J25" s="34">
        <f>IF(J$22=$E25,0,IF(AND(INDEX(Results!$B$2:$AB$282,MATCH(DummyStandings!J$22&amp;DummyStandings!$E25,Results!$K$2:$K$282,0),11)=DummyStandings!$E25,INDEX(Results!$B$2:$AB$282,MATCH(DummyStandings!$E25&amp;DummyStandings!J$22,Results!$K$2:$K$282,0),11)=DummyStandings!$E25),2,IF(INDEX(Results!$B$2:$AB$282,MATCH(DummyStandings!J$22&amp;DummyStandings!$E25,Results!$K$2:$K$282,0),11)=DummyStandings!$E25,1,IF(INDEX(Results!$B$2:$AB$282,MATCH(DummyStandings!$E25&amp;DummyStandings!J$22,Results!$K$2:$K$282,0),11)=DummyStandings!$E25,1,0))))</f>
        <v>1</v>
      </c>
      <c r="K25" s="35">
        <f>IF(K$22=$E25,0,INDEX(Results!$B$2:$O$282,MATCH(DummyStandings!$E25&amp;DummyStandings!K$22,Results!$K$2:$K$282,0),3)-INDEX(Results!$B$2:$O$282,MATCH(DummyStandings!$E25&amp;DummyStandings!K$22,Results!$K$2:$K$282,0),3))</f>
        <v>0</v>
      </c>
      <c r="L25" s="137">
        <f t="shared" si="64"/>
        <v>0</v>
      </c>
      <c r="M25" s="34">
        <f>IF(M$22=$E25,0,IF(AND(INDEX(Results!$B$2:$AB$282,MATCH(DummyStandings!M$22&amp;DummyStandings!$E25,Results!$K$2:$K$282,0),11)=DummyStandings!$E25,INDEX(Results!$B$2:$AB$282,MATCH(DummyStandings!$E25&amp;DummyStandings!M$22,Results!$K$2:$K$282,0),11)=DummyStandings!$E25),2,IF(INDEX(Results!$B$2:$AB$282,MATCH(DummyStandings!M$22&amp;DummyStandings!$E25,Results!$K$2:$K$282,0),11)=DummyStandings!$E25,1,IF(INDEX(Results!$B$2:$AB$282,MATCH(DummyStandings!$E25&amp;DummyStandings!M$22,Results!$K$2:$K$282,0),11)=DummyStandings!$E25,1,0))))</f>
        <v>0</v>
      </c>
      <c r="N25" s="35">
        <f>IF(N$22=$E25,0,INDEX(Results!$B$2:$O$282,MATCH(DummyStandings!$E25&amp;DummyStandings!N$22,Results!$K$2:$K$282,0),3)-INDEX(Results!$B$2:$O$282,MATCH(DummyStandings!$E25&amp;DummyStandings!N$22,Results!$K$2:$K$282,0),3))</f>
        <v>0</v>
      </c>
      <c r="O25" s="137">
        <f t="shared" si="65"/>
        <v>0</v>
      </c>
      <c r="P25" s="34">
        <f>IF(P$22=$E25,0,IF(AND(INDEX(Results!$B$2:$AB$282,MATCH(DummyStandings!P$22&amp;DummyStandings!$E25,Results!$K$2:$K$282,0),11)=DummyStandings!$E25,INDEX(Results!$B$2:$AB$282,MATCH(DummyStandings!$E25&amp;DummyStandings!P$22,Results!$K$2:$K$282,0),11)=DummyStandings!$E25),2,IF(INDEX(Results!$B$2:$AB$282,MATCH(DummyStandings!P$22&amp;DummyStandings!$E25,Results!$K$2:$K$282,0),11)=DummyStandings!$E25,1,IF(INDEX(Results!$B$2:$AB$282,MATCH(DummyStandings!$E25&amp;DummyStandings!P$22,Results!$K$2:$K$282,0),11)=DummyStandings!$E25,1,0))))</f>
        <v>2</v>
      </c>
      <c r="Q25" s="35">
        <f>IF(Q$22=$E25,0,INDEX(Results!$B$2:$O$282,MATCH(DummyStandings!$E25&amp;DummyStandings!Q$22,Results!$K$2:$K$282,0),3)-INDEX(Results!$B$2:$O$282,MATCH(DummyStandings!$E25&amp;DummyStandings!Q$22,Results!$K$2:$K$282,0),3))</f>
        <v>0</v>
      </c>
      <c r="R25" s="137">
        <f t="shared" si="66"/>
        <v>0</v>
      </c>
      <c r="S25" s="34">
        <f>IF(S$22=$E25,0,IF(AND(INDEX(Results!$B$2:$AB$282,MATCH(DummyStandings!S$22&amp;DummyStandings!$E25,Results!$K$2:$K$282,0),11)=DummyStandings!$E25,INDEX(Results!$B$2:$AB$282,MATCH(DummyStandings!$E25&amp;DummyStandings!S$22,Results!$K$2:$K$282,0),11)=DummyStandings!$E25),2,IF(INDEX(Results!$B$2:$AB$282,MATCH(DummyStandings!S$22&amp;DummyStandings!$E25,Results!$K$2:$K$282,0),11)=DummyStandings!$E25,1,IF(INDEX(Results!$B$2:$AB$282,MATCH(DummyStandings!$E25&amp;DummyStandings!S$22,Results!$K$2:$K$282,0),11)=DummyStandings!$E25,1,0))))</f>
        <v>0</v>
      </c>
      <c r="T25" s="35">
        <f>IF(T$22=$E25,0,INDEX(Results!$B$2:$O$282,MATCH(DummyStandings!$E25&amp;DummyStandings!T$22,Results!$K$2:$K$282,0),3)-INDEX(Results!$B$2:$O$282,MATCH(DummyStandings!$E25&amp;DummyStandings!T$22,Results!$K$2:$K$282,0),3))</f>
        <v>0</v>
      </c>
      <c r="U25" s="137">
        <f t="shared" si="67"/>
        <v>0</v>
      </c>
      <c r="V25" s="34">
        <f>IF(V$22=$E25,0,IF(AND(INDEX(Results!$B$2:$AB$282,MATCH(DummyStandings!V$22&amp;DummyStandings!$E25,Results!$K$2:$K$282,0),11)=DummyStandings!$E25,INDEX(Results!$B$2:$AB$282,MATCH(DummyStandings!$E25&amp;DummyStandings!V$22,Results!$K$2:$K$282,0),11)=DummyStandings!$E25),2,IF(INDEX(Results!$B$2:$AB$282,MATCH(DummyStandings!V$22&amp;DummyStandings!$E25,Results!$K$2:$K$282,0),11)=DummyStandings!$E25,1,IF(INDEX(Results!$B$2:$AB$282,MATCH(DummyStandings!$E25&amp;DummyStandings!V$22,Results!$K$2:$K$282,0),11)=DummyStandings!$E25,1,0))))</f>
        <v>0</v>
      </c>
      <c r="W25" s="35">
        <f>IF(W$22=$E25,0,INDEX(Results!$B$2:$O$282,MATCH(DummyStandings!$E25&amp;DummyStandings!W$22,Results!$K$2:$K$282,0),3)-INDEX(Results!$B$2:$O$282,MATCH(DummyStandings!$E25&amp;DummyStandings!W$22,Results!$K$2:$K$282,0),3))</f>
        <v>0</v>
      </c>
      <c r="X25" s="137">
        <f t="shared" si="68"/>
        <v>0</v>
      </c>
      <c r="Y25" s="34">
        <f>IF(Y$22=$E25,0,IF(AND(INDEX(Results!$B$2:$AB$282,MATCH(DummyStandings!Y$22&amp;DummyStandings!$E25,Results!$K$2:$K$282,0),11)=DummyStandings!$E25,INDEX(Results!$B$2:$AB$282,MATCH(DummyStandings!$E25&amp;DummyStandings!Y$22,Results!$K$2:$K$282,0),11)=DummyStandings!$E25),2,IF(INDEX(Results!$B$2:$AB$282,MATCH(DummyStandings!Y$22&amp;DummyStandings!$E25,Results!$K$2:$K$282,0),11)=DummyStandings!$E25,1,IF(INDEX(Results!$B$2:$AB$282,MATCH(DummyStandings!$E25&amp;DummyStandings!Y$22,Results!$K$2:$K$282,0),11)=DummyStandings!$E25,1,0))))</f>
        <v>2</v>
      </c>
      <c r="Z25" s="35">
        <f>IF(Z$22=$E25,0,INDEX(Results!$B$2:$O$282,MATCH(DummyStandings!$E25&amp;DummyStandings!Z$22,Results!$K$2:$K$282,0),3)-INDEX(Results!$B$2:$O$282,MATCH(DummyStandings!$E25&amp;DummyStandings!Z$22,Results!$K$2:$K$282,0),3))</f>
        <v>0</v>
      </c>
      <c r="AA25" s="137">
        <f t="shared" si="69"/>
        <v>0</v>
      </c>
      <c r="AB25" s="34">
        <f>IF(AB$22=$E25,0,IF(AND(INDEX(Results!$B$2:$AB$282,MATCH(DummyStandings!AB$22&amp;DummyStandings!$E25,Results!$K$2:$K$282,0),11)=DummyStandings!$E25,INDEX(Results!$B$2:$AB$282,MATCH(DummyStandings!$E25&amp;DummyStandings!AB$22,Results!$K$2:$K$282,0),11)=DummyStandings!$E25),2,IF(INDEX(Results!$B$2:$AB$282,MATCH(DummyStandings!AB$22&amp;DummyStandings!$E25,Results!$K$2:$K$282,0),11)=DummyStandings!$E25,1,IF(INDEX(Results!$B$2:$AB$282,MATCH(DummyStandings!$E25&amp;DummyStandings!AB$22,Results!$K$2:$K$282,0),11)=DummyStandings!$E25,1,0))))</f>
        <v>2</v>
      </c>
      <c r="AC25" s="35">
        <f>IF(AC$22=$E25,0,INDEX(Results!$B$2:$O$282,MATCH(DummyStandings!$E25&amp;DummyStandings!AC$22,Results!$K$2:$K$282,0),3)-INDEX(Results!$B$2:$O$282,MATCH(DummyStandings!$E25&amp;DummyStandings!AC$22,Results!$K$2:$K$282,0),3))</f>
        <v>0</v>
      </c>
      <c r="AD25" s="132">
        <f t="shared" si="79"/>
        <v>0</v>
      </c>
      <c r="AE25" s="137">
        <f t="shared" si="79"/>
        <v>0</v>
      </c>
      <c r="AF25" s="137">
        <f t="shared" si="70"/>
        <v>16</v>
      </c>
      <c r="AG25" s="132">
        <f t="shared" si="19"/>
        <v>2</v>
      </c>
      <c r="AH25" s="34">
        <f t="shared" si="71"/>
        <v>0</v>
      </c>
      <c r="AI25" s="137">
        <f t="shared" si="72"/>
        <v>2</v>
      </c>
      <c r="AJ25" s="137">
        <f t="shared" si="73"/>
        <v>0</v>
      </c>
      <c r="AK25" s="137">
        <f t="shared" si="74"/>
        <v>0</v>
      </c>
      <c r="AL25" s="132">
        <f t="shared" si="20"/>
        <v>0</v>
      </c>
      <c r="AM25" s="34">
        <f t="shared" si="21"/>
        <v>14</v>
      </c>
      <c r="AN25" s="34">
        <f t="shared" si="22"/>
        <v>7</v>
      </c>
      <c r="AO25" s="34">
        <f t="shared" si="23"/>
        <v>7</v>
      </c>
      <c r="AP25" s="34">
        <f t="shared" si="24"/>
        <v>215</v>
      </c>
      <c r="AQ25" s="34">
        <f t="shared" si="25"/>
        <v>299</v>
      </c>
      <c r="AR25" s="34">
        <f t="shared" si="26"/>
        <v>-84</v>
      </c>
      <c r="AS25" s="137">
        <f t="shared" si="27"/>
        <v>7</v>
      </c>
      <c r="AT25" s="34">
        <f>SUMPRODUCT((Results!$C$3:$C$282=DummyStandings!$C25)*(Results!$D$3:$D$282&gt;Results!$E$3:$E$282))</f>
        <v>4</v>
      </c>
      <c r="AU25" s="34">
        <f>SUMPRODUCT((Results!$C$3:$C$282=DummyStandings!$C25)*(Results!$D$3:$D$282&lt;Results!$E$3:$E$282))</f>
        <v>3</v>
      </c>
      <c r="AV25" s="34">
        <f>SUMIF(Results!$C$3:$C$282,$C25,Results!$D$3:$D$282)</f>
        <v>119</v>
      </c>
      <c r="AW25" s="34">
        <f>SUMIF(Results!$C$3:$C$282,$C25,Results!$E$3:$E$282)</f>
        <v>147</v>
      </c>
      <c r="AX25" s="34">
        <f t="shared" si="28"/>
        <v>-28</v>
      </c>
      <c r="AY25" s="137">
        <f t="shared" si="29"/>
        <v>7</v>
      </c>
      <c r="AZ25" s="34">
        <f>SUMPRODUCT((Results!$F$3:$F$282=DummyStandings!$C25)*(Results!$E$3:$E$282&gt;Results!$D$3:$D$282))</f>
        <v>3</v>
      </c>
      <c r="BA25" s="34">
        <f>SUMPRODUCT((Results!$F$3:$F$282=DummyStandings!$C25)*(Results!$E$3:$E$282&lt;Results!$D$3:$D$282))</f>
        <v>4</v>
      </c>
      <c r="BB25" s="34">
        <f>SUMIF(Results!$F$3:$F$282,$C25,Results!$E$3:$E$282)</f>
        <v>96</v>
      </c>
      <c r="BC25" s="34">
        <f>SUMIF(Results!$F$3:$F$282,$C25,Results!$D$3:$D$282)</f>
        <v>152</v>
      </c>
      <c r="BD25" s="35">
        <f t="shared" si="30"/>
        <v>-56</v>
      </c>
      <c r="BE25" s="34">
        <f>INDEX(Teams!$B$5:$H$45,MATCH(DummyStandings!E25,Teams!$G$5:$G$45,0),7)</f>
        <v>22</v>
      </c>
      <c r="BF25" s="272">
        <f t="shared" si="40"/>
        <v>0.4714285714285714</v>
      </c>
      <c r="BG25" s="275">
        <f t="shared" si="31"/>
        <v>0.3642857142857142</v>
      </c>
      <c r="BH25" s="275">
        <f t="shared" si="41"/>
        <v>0.43571428571428567</v>
      </c>
      <c r="BI25" s="34">
        <v>1</v>
      </c>
      <c r="BJ25" s="132">
        <f t="shared" si="32"/>
        <v>18</v>
      </c>
      <c r="BK25" s="35">
        <f t="shared" si="33"/>
        <v>0</v>
      </c>
      <c r="BL25" s="35">
        <f t="shared" si="34"/>
        <v>0</v>
      </c>
      <c r="BM25" s="35">
        <f t="shared" si="35"/>
        <v>0</v>
      </c>
      <c r="BN25" s="35">
        <f t="shared" si="36"/>
        <v>0</v>
      </c>
      <c r="BO25" s="35">
        <f t="shared" si="37"/>
        <v>0</v>
      </c>
      <c r="BP25" s="137">
        <f t="shared" si="38"/>
        <v>0</v>
      </c>
      <c r="BQ25" s="132">
        <f t="shared" si="75"/>
        <v>19</v>
      </c>
      <c r="BR25" s="137">
        <f t="shared" si="76"/>
        <v>1</v>
      </c>
      <c r="BS25" s="132">
        <f t="shared" si="77"/>
        <v>4</v>
      </c>
      <c r="BT25" s="35">
        <f t="shared" si="39"/>
        <v>20</v>
      </c>
    </row>
    <row r="26" spans="2:72" ht="12.75">
      <c r="B26" s="132">
        <f t="shared" si="78"/>
        <v>27</v>
      </c>
      <c r="C26" s="161" t="str">
        <f>Teams!B25</f>
        <v>Harloop University</v>
      </c>
      <c r="D26" s="137" t="str">
        <f>INDEX(Teams!$B$5:$F$45,MATCH(DummyStandings!$C26,Teams!$B$5:$B$45,0),COLUMN()+1)</f>
        <v>Mineral</v>
      </c>
      <c r="E26" s="165" t="str">
        <f>INDEX(Teams!$B$5:$H$45,MATCH(DummyStandings!$C26,Teams!$B$5:$B$45,0),6)</f>
        <v>HRLP</v>
      </c>
      <c r="F26" s="137">
        <f t="shared" si="62"/>
        <v>1</v>
      </c>
      <c r="G26" s="34">
        <f>IF(G$22=$E26,0,IF(AND(INDEX(Results!$B$2:$AB$282,MATCH(DummyStandings!G$22&amp;DummyStandings!$E26,Results!$K$2:$K$282,0),11)=DummyStandings!$E26,INDEX(Results!$B$2:$AB$282,MATCH(DummyStandings!$E26&amp;DummyStandings!G$22,Results!$K$2:$K$282,0),11)=DummyStandings!$E26),2,IF(INDEX(Results!$B$2:$AB$282,MATCH(DummyStandings!G$22&amp;DummyStandings!$E26,Results!$K$2:$K$282,0),11)=DummyStandings!$E26,1,IF(INDEX(Results!$B$2:$AB$282,MATCH(DummyStandings!$E26&amp;DummyStandings!G$22,Results!$K$2:$K$282,0),11)=DummyStandings!$E26,1,0))))</f>
        <v>2</v>
      </c>
      <c r="H26" s="35">
        <f>IF(H$22=$E26,0,INDEX(Results!$B$2:$O$282,MATCH(DummyStandings!$E26&amp;DummyStandings!H$22,Results!$K$2:$K$282,0),3)-INDEX(Results!$B$2:$O$282,MATCH(DummyStandings!$E26&amp;DummyStandings!H$22,Results!$K$2:$K$282,0),3))</f>
        <v>0</v>
      </c>
      <c r="I26" s="137">
        <f t="shared" si="63"/>
        <v>1</v>
      </c>
      <c r="J26" s="34">
        <f>IF(J$22=$E26,0,IF(AND(INDEX(Results!$B$2:$AB$282,MATCH(DummyStandings!J$22&amp;DummyStandings!$E26,Results!$K$2:$K$282,0),11)=DummyStandings!$E26,INDEX(Results!$B$2:$AB$282,MATCH(DummyStandings!$E26&amp;DummyStandings!J$22,Results!$K$2:$K$282,0),11)=DummyStandings!$E26),2,IF(INDEX(Results!$B$2:$AB$282,MATCH(DummyStandings!J$22&amp;DummyStandings!$E26,Results!$K$2:$K$282,0),11)=DummyStandings!$E26,1,IF(INDEX(Results!$B$2:$AB$282,MATCH(DummyStandings!$E26&amp;DummyStandings!J$22,Results!$K$2:$K$282,0),11)=DummyStandings!$E26,1,0))))</f>
        <v>0</v>
      </c>
      <c r="K26" s="35">
        <f>IF(K$22=$E26,0,INDEX(Results!$B$2:$O$282,MATCH(DummyStandings!$E26&amp;DummyStandings!K$22,Results!$K$2:$K$282,0),3)-INDEX(Results!$B$2:$O$282,MATCH(DummyStandings!$E26&amp;DummyStandings!K$22,Results!$K$2:$K$282,0),3))</f>
        <v>0</v>
      </c>
      <c r="L26" s="137">
        <f t="shared" si="64"/>
        <v>0</v>
      </c>
      <c r="M26" s="34">
        <f>IF(M$22=$E26,0,IF(AND(INDEX(Results!$B$2:$AB$282,MATCH(DummyStandings!M$22&amp;DummyStandings!$E26,Results!$K$2:$K$282,0),11)=DummyStandings!$E26,INDEX(Results!$B$2:$AB$282,MATCH(DummyStandings!$E26&amp;DummyStandings!M$22,Results!$K$2:$K$282,0),11)=DummyStandings!$E26),2,IF(INDEX(Results!$B$2:$AB$282,MATCH(DummyStandings!M$22&amp;DummyStandings!$E26,Results!$K$2:$K$282,0),11)=DummyStandings!$E26,1,IF(INDEX(Results!$B$2:$AB$282,MATCH(DummyStandings!$E26&amp;DummyStandings!M$22,Results!$K$2:$K$282,0),11)=DummyStandings!$E26,1,0))))</f>
        <v>0</v>
      </c>
      <c r="N26" s="35">
        <f>IF(N$22=$E26,0,INDEX(Results!$B$2:$O$282,MATCH(DummyStandings!$E26&amp;DummyStandings!N$22,Results!$K$2:$K$282,0),3)-INDEX(Results!$B$2:$O$282,MATCH(DummyStandings!$E26&amp;DummyStandings!N$22,Results!$K$2:$K$282,0),3))</f>
        <v>0</v>
      </c>
      <c r="O26" s="137">
        <f t="shared" si="65"/>
        <v>0</v>
      </c>
      <c r="P26" s="34">
        <f>IF(P$22=$E26,0,IF(AND(INDEX(Results!$B$2:$AB$282,MATCH(DummyStandings!P$22&amp;DummyStandings!$E26,Results!$K$2:$K$282,0),11)=DummyStandings!$E26,INDEX(Results!$B$2:$AB$282,MATCH(DummyStandings!$E26&amp;DummyStandings!P$22,Results!$K$2:$K$282,0),11)=DummyStandings!$E26),2,IF(INDEX(Results!$B$2:$AB$282,MATCH(DummyStandings!P$22&amp;DummyStandings!$E26,Results!$K$2:$K$282,0),11)=DummyStandings!$E26,1,IF(INDEX(Results!$B$2:$AB$282,MATCH(DummyStandings!$E26&amp;DummyStandings!P$22,Results!$K$2:$K$282,0),11)=DummyStandings!$E26,1,0))))</f>
        <v>0</v>
      </c>
      <c r="Q26" s="35">
        <f>IF(Q$22=$E26,0,INDEX(Results!$B$2:$O$282,MATCH(DummyStandings!$E26&amp;DummyStandings!Q$22,Results!$K$2:$K$282,0),3)-INDEX(Results!$B$2:$O$282,MATCH(DummyStandings!$E26&amp;DummyStandings!Q$22,Results!$K$2:$K$282,0),3))</f>
        <v>0</v>
      </c>
      <c r="R26" s="137">
        <f t="shared" si="66"/>
        <v>0</v>
      </c>
      <c r="S26" s="34">
        <f>IF(S$22=$E26,0,IF(AND(INDEX(Results!$B$2:$AB$282,MATCH(DummyStandings!S$22&amp;DummyStandings!$E26,Results!$K$2:$K$282,0),11)=DummyStandings!$E26,INDEX(Results!$B$2:$AB$282,MATCH(DummyStandings!$E26&amp;DummyStandings!S$22,Results!$K$2:$K$282,0),11)=DummyStandings!$E26),2,IF(INDEX(Results!$B$2:$AB$282,MATCH(DummyStandings!S$22&amp;DummyStandings!$E26,Results!$K$2:$K$282,0),11)=DummyStandings!$E26,1,IF(INDEX(Results!$B$2:$AB$282,MATCH(DummyStandings!$E26&amp;DummyStandings!S$22,Results!$K$2:$K$282,0),11)=DummyStandings!$E26,1,0))))</f>
        <v>0</v>
      </c>
      <c r="T26" s="35">
        <f>IF(T$22=$E26,0,INDEX(Results!$B$2:$O$282,MATCH(DummyStandings!$E26&amp;DummyStandings!T$22,Results!$K$2:$K$282,0),3)-INDEX(Results!$B$2:$O$282,MATCH(DummyStandings!$E26&amp;DummyStandings!T$22,Results!$K$2:$K$282,0),3))</f>
        <v>0</v>
      </c>
      <c r="U26" s="137">
        <f t="shared" si="67"/>
        <v>0</v>
      </c>
      <c r="V26" s="34">
        <f>IF(V$22=$E26,0,IF(AND(INDEX(Results!$B$2:$AB$282,MATCH(DummyStandings!V$22&amp;DummyStandings!$E26,Results!$K$2:$K$282,0),11)=DummyStandings!$E26,INDEX(Results!$B$2:$AB$282,MATCH(DummyStandings!$E26&amp;DummyStandings!V$22,Results!$K$2:$K$282,0),11)=DummyStandings!$E26),2,IF(INDEX(Results!$B$2:$AB$282,MATCH(DummyStandings!V$22&amp;DummyStandings!$E26,Results!$K$2:$K$282,0),11)=DummyStandings!$E26,1,IF(INDEX(Results!$B$2:$AB$282,MATCH(DummyStandings!$E26&amp;DummyStandings!V$22,Results!$K$2:$K$282,0),11)=DummyStandings!$E26,1,0))))</f>
        <v>0</v>
      </c>
      <c r="W26" s="35">
        <f>IF(W$22=$E26,0,INDEX(Results!$B$2:$O$282,MATCH(DummyStandings!$E26&amp;DummyStandings!W$22,Results!$K$2:$K$282,0),3)-INDEX(Results!$B$2:$O$282,MATCH(DummyStandings!$E26&amp;DummyStandings!W$22,Results!$K$2:$K$282,0),3))</f>
        <v>0</v>
      </c>
      <c r="X26" s="137">
        <f t="shared" si="68"/>
        <v>0</v>
      </c>
      <c r="Y26" s="34">
        <f>IF(Y$22=$E26,0,IF(AND(INDEX(Results!$B$2:$AB$282,MATCH(DummyStandings!Y$22&amp;DummyStandings!$E26,Results!$K$2:$K$282,0),11)=DummyStandings!$E26,INDEX(Results!$B$2:$AB$282,MATCH(DummyStandings!$E26&amp;DummyStandings!Y$22,Results!$K$2:$K$282,0),11)=DummyStandings!$E26),2,IF(INDEX(Results!$B$2:$AB$282,MATCH(DummyStandings!Y$22&amp;DummyStandings!$E26,Results!$K$2:$K$282,0),11)=DummyStandings!$E26,1,IF(INDEX(Results!$B$2:$AB$282,MATCH(DummyStandings!$E26&amp;DummyStandings!Y$22,Results!$K$2:$K$282,0),11)=DummyStandings!$E26,1,0))))</f>
        <v>2</v>
      </c>
      <c r="Z26" s="35">
        <f>IF(Z$22=$E26,0,INDEX(Results!$B$2:$O$282,MATCH(DummyStandings!$E26&amp;DummyStandings!Z$22,Results!$K$2:$K$282,0),3)-INDEX(Results!$B$2:$O$282,MATCH(DummyStandings!$E26&amp;DummyStandings!Z$22,Results!$K$2:$K$282,0),3))</f>
        <v>0</v>
      </c>
      <c r="AA26" s="137">
        <f t="shared" si="69"/>
        <v>1</v>
      </c>
      <c r="AB26" s="34">
        <f>IF(AB$22=$E26,0,IF(AND(INDEX(Results!$B$2:$AB$282,MATCH(DummyStandings!AB$22&amp;DummyStandings!$E26,Results!$K$2:$K$282,0),11)=DummyStandings!$E26,INDEX(Results!$B$2:$AB$282,MATCH(DummyStandings!$E26&amp;DummyStandings!AB$22,Results!$K$2:$K$282,0),11)=DummyStandings!$E26),2,IF(INDEX(Results!$B$2:$AB$282,MATCH(DummyStandings!AB$22&amp;DummyStandings!$E26,Results!$K$2:$K$282,0),11)=DummyStandings!$E26,1,IF(INDEX(Results!$B$2:$AB$282,MATCH(DummyStandings!$E26&amp;DummyStandings!AB$22,Results!$K$2:$K$282,0),11)=DummyStandings!$E26,1,0))))</f>
        <v>1</v>
      </c>
      <c r="AC26" s="35">
        <f>IF(AC$22=$E26,0,INDEX(Results!$B$2:$O$282,MATCH(DummyStandings!$E26&amp;DummyStandings!AC$22,Results!$K$2:$K$282,0),3)-INDEX(Results!$B$2:$O$282,MATCH(DummyStandings!$E26&amp;DummyStandings!AC$22,Results!$K$2:$K$282,0),3))</f>
        <v>0</v>
      </c>
      <c r="AD26" s="132">
        <f t="shared" si="79"/>
        <v>2</v>
      </c>
      <c r="AE26" s="137">
        <f t="shared" si="79"/>
        <v>0</v>
      </c>
      <c r="AF26" s="137">
        <f t="shared" si="70"/>
        <v>24</v>
      </c>
      <c r="AG26" s="132">
        <f t="shared" si="19"/>
        <v>1</v>
      </c>
      <c r="AH26" s="34">
        <f t="shared" si="71"/>
        <v>0</v>
      </c>
      <c r="AI26" s="137">
        <f t="shared" si="72"/>
        <v>2</v>
      </c>
      <c r="AJ26" s="137">
        <f t="shared" si="73"/>
        <v>0</v>
      </c>
      <c r="AK26" s="137">
        <f t="shared" si="74"/>
        <v>0</v>
      </c>
      <c r="AL26" s="132">
        <f t="shared" si="20"/>
        <v>0</v>
      </c>
      <c r="AM26" s="34">
        <f t="shared" si="21"/>
        <v>14</v>
      </c>
      <c r="AN26" s="34">
        <f t="shared" si="22"/>
        <v>5</v>
      </c>
      <c r="AO26" s="34">
        <f t="shared" si="23"/>
        <v>9</v>
      </c>
      <c r="AP26" s="34">
        <f t="shared" si="24"/>
        <v>157</v>
      </c>
      <c r="AQ26" s="34">
        <f t="shared" si="25"/>
        <v>237</v>
      </c>
      <c r="AR26" s="34">
        <f t="shared" si="26"/>
        <v>-80</v>
      </c>
      <c r="AS26" s="137">
        <f t="shared" si="27"/>
        <v>7</v>
      </c>
      <c r="AT26" s="34">
        <f>SUMPRODUCT((Results!$C$3:$C$282=DummyStandings!$C26)*(Results!$D$3:$D$282&gt;Results!$E$3:$E$282))</f>
        <v>2</v>
      </c>
      <c r="AU26" s="34">
        <f>SUMPRODUCT((Results!$C$3:$C$282=DummyStandings!$C26)*(Results!$D$3:$D$282&lt;Results!$E$3:$E$282))</f>
        <v>5</v>
      </c>
      <c r="AV26" s="34">
        <f>SUMIF(Results!$C$3:$C$282,$C26,Results!$D$3:$D$282)</f>
        <v>57</v>
      </c>
      <c r="AW26" s="34">
        <f>SUMIF(Results!$C$3:$C$282,$C26,Results!$E$3:$E$282)</f>
        <v>96</v>
      </c>
      <c r="AX26" s="34">
        <f t="shared" si="28"/>
        <v>-39</v>
      </c>
      <c r="AY26" s="137">
        <f t="shared" si="29"/>
        <v>7</v>
      </c>
      <c r="AZ26" s="34">
        <f>SUMPRODUCT((Results!$F$3:$F$282=DummyStandings!$C26)*(Results!$E$3:$E$282&gt;Results!$D$3:$D$282))</f>
        <v>3</v>
      </c>
      <c r="BA26" s="34">
        <f>SUMPRODUCT((Results!$F$3:$F$282=DummyStandings!$C26)*(Results!$E$3:$E$282&lt;Results!$D$3:$D$282))</f>
        <v>4</v>
      </c>
      <c r="BB26" s="34">
        <f>SUMIF(Results!$F$3:$F$282,$C26,Results!$E$3:$E$282)</f>
        <v>100</v>
      </c>
      <c r="BC26" s="34">
        <f>SUMIF(Results!$F$3:$F$282,$C26,Results!$D$3:$D$282)</f>
        <v>141</v>
      </c>
      <c r="BD26" s="35">
        <f t="shared" si="30"/>
        <v>-41</v>
      </c>
      <c r="BE26" s="34">
        <f>INDEX(Teams!$B$5:$H$45,MATCH(DummyStandings!E26,Teams!$G$5:$G$45,0),7)</f>
        <v>23</v>
      </c>
      <c r="BF26" s="272">
        <f t="shared" si="40"/>
        <v>0.3857142857142857</v>
      </c>
      <c r="BG26" s="275">
        <f t="shared" si="31"/>
        <v>0.3728571428571429</v>
      </c>
      <c r="BH26" s="275">
        <f t="shared" si="41"/>
        <v>0.3814285714285714</v>
      </c>
      <c r="BI26" s="34">
        <v>1</v>
      </c>
      <c r="BJ26" s="132">
        <f t="shared" si="32"/>
        <v>21</v>
      </c>
      <c r="BK26" s="35">
        <f t="shared" si="33"/>
        <v>0</v>
      </c>
      <c r="BL26" s="35">
        <f t="shared" si="34"/>
        <v>0</v>
      </c>
      <c r="BM26" s="35">
        <f t="shared" si="35"/>
        <v>0</v>
      </c>
      <c r="BN26" s="35">
        <f t="shared" si="36"/>
        <v>0</v>
      </c>
      <c r="BO26" s="35">
        <f t="shared" si="37"/>
        <v>0</v>
      </c>
      <c r="BP26" s="137">
        <f t="shared" si="38"/>
        <v>0</v>
      </c>
      <c r="BQ26" s="132">
        <f t="shared" si="75"/>
        <v>22</v>
      </c>
      <c r="BR26" s="137">
        <f t="shared" si="76"/>
        <v>5</v>
      </c>
      <c r="BS26" s="132">
        <f t="shared" si="77"/>
        <v>4</v>
      </c>
      <c r="BT26" s="35">
        <f t="shared" si="39"/>
        <v>28</v>
      </c>
    </row>
    <row r="27" spans="2:72" ht="12.75">
      <c r="B27" s="132">
        <f t="shared" si="78"/>
        <v>5</v>
      </c>
      <c r="C27" s="161" t="str">
        <f>Teams!B26</f>
        <v>Oklahoma City State University</v>
      </c>
      <c r="D27" s="137" t="str">
        <f>INDEX(Teams!$B$5:$F$45,MATCH(DummyStandings!$C27,Teams!$B$5:$B$45,0),COLUMN()+1)</f>
        <v>Mineral</v>
      </c>
      <c r="E27" s="165" t="str">
        <f>INDEX(Teams!$B$5:$H$45,MATCH(DummyStandings!$C27,Teams!$B$5:$B$45,0),6)</f>
        <v>OCSU</v>
      </c>
      <c r="F27" s="137">
        <f t="shared" si="62"/>
        <v>0</v>
      </c>
      <c r="G27" s="34">
        <f>IF(G$22=$E27,0,IF(AND(INDEX(Results!$B$2:$AB$282,MATCH(DummyStandings!G$22&amp;DummyStandings!$E27,Results!$K$2:$K$282,0),11)=DummyStandings!$E27,INDEX(Results!$B$2:$AB$282,MATCH(DummyStandings!$E27&amp;DummyStandings!G$22,Results!$K$2:$K$282,0),11)=DummyStandings!$E27),2,IF(INDEX(Results!$B$2:$AB$282,MATCH(DummyStandings!G$22&amp;DummyStandings!$E27,Results!$K$2:$K$282,0),11)=DummyStandings!$E27,1,IF(INDEX(Results!$B$2:$AB$282,MATCH(DummyStandings!$E27&amp;DummyStandings!G$22,Results!$K$2:$K$282,0),11)=DummyStandings!$E27,1,0))))</f>
        <v>2</v>
      </c>
      <c r="H27" s="35">
        <f>IF(H$22=$E27,0,INDEX(Results!$B$2:$O$282,MATCH(DummyStandings!$E27&amp;DummyStandings!H$22,Results!$K$2:$K$282,0),3)-INDEX(Results!$B$2:$O$282,MATCH(DummyStandings!$E27&amp;DummyStandings!H$22,Results!$K$2:$K$282,0),3))</f>
        <v>0</v>
      </c>
      <c r="I27" s="137">
        <f t="shared" si="63"/>
        <v>0</v>
      </c>
      <c r="J27" s="34">
        <f>IF(J$22=$E27,0,IF(AND(INDEX(Results!$B$2:$AB$282,MATCH(DummyStandings!J$22&amp;DummyStandings!$E27,Results!$K$2:$K$282,0),11)=DummyStandings!$E27,INDEX(Results!$B$2:$AB$282,MATCH(DummyStandings!$E27&amp;DummyStandings!J$22,Results!$K$2:$K$282,0),11)=DummyStandings!$E27),2,IF(INDEX(Results!$B$2:$AB$282,MATCH(DummyStandings!J$22&amp;DummyStandings!$E27,Results!$K$2:$K$282,0),11)=DummyStandings!$E27,1,IF(INDEX(Results!$B$2:$AB$282,MATCH(DummyStandings!$E27&amp;DummyStandings!J$22,Results!$K$2:$K$282,0),11)=DummyStandings!$E27,1,0))))</f>
        <v>2</v>
      </c>
      <c r="K27" s="35">
        <f>IF(K$22=$E27,0,INDEX(Results!$B$2:$O$282,MATCH(DummyStandings!$E27&amp;DummyStandings!K$22,Results!$K$2:$K$282,0),3)-INDEX(Results!$B$2:$O$282,MATCH(DummyStandings!$E27&amp;DummyStandings!K$22,Results!$K$2:$K$282,0),3))</f>
        <v>0</v>
      </c>
      <c r="L27" s="137">
        <f t="shared" si="64"/>
        <v>0</v>
      </c>
      <c r="M27" s="34">
        <f>IF(M$22=$E27,0,IF(AND(INDEX(Results!$B$2:$AB$282,MATCH(DummyStandings!M$22&amp;DummyStandings!$E27,Results!$K$2:$K$282,0),11)=DummyStandings!$E27,INDEX(Results!$B$2:$AB$282,MATCH(DummyStandings!$E27&amp;DummyStandings!M$22,Results!$K$2:$K$282,0),11)=DummyStandings!$E27),2,IF(INDEX(Results!$B$2:$AB$282,MATCH(DummyStandings!M$22&amp;DummyStandings!$E27,Results!$K$2:$K$282,0),11)=DummyStandings!$E27,1,IF(INDEX(Results!$B$2:$AB$282,MATCH(DummyStandings!$E27&amp;DummyStandings!M$22,Results!$K$2:$K$282,0),11)=DummyStandings!$E27,1,0))))</f>
        <v>2</v>
      </c>
      <c r="N27" s="35">
        <f>IF(N$22=$E27,0,INDEX(Results!$B$2:$O$282,MATCH(DummyStandings!$E27&amp;DummyStandings!N$22,Results!$K$2:$K$282,0),3)-INDEX(Results!$B$2:$O$282,MATCH(DummyStandings!$E27&amp;DummyStandings!N$22,Results!$K$2:$K$282,0),3))</f>
        <v>0</v>
      </c>
      <c r="O27" s="137">
        <f t="shared" si="65"/>
        <v>0</v>
      </c>
      <c r="P27" s="34">
        <f>IF(P$22=$E27,0,IF(AND(INDEX(Results!$B$2:$AB$282,MATCH(DummyStandings!P$22&amp;DummyStandings!$E27,Results!$K$2:$K$282,0),11)=DummyStandings!$E27,INDEX(Results!$B$2:$AB$282,MATCH(DummyStandings!$E27&amp;DummyStandings!P$22,Results!$K$2:$K$282,0),11)=DummyStandings!$E27),2,IF(INDEX(Results!$B$2:$AB$282,MATCH(DummyStandings!P$22&amp;DummyStandings!$E27,Results!$K$2:$K$282,0),11)=DummyStandings!$E27,1,IF(INDEX(Results!$B$2:$AB$282,MATCH(DummyStandings!$E27&amp;DummyStandings!P$22,Results!$K$2:$K$282,0),11)=DummyStandings!$E27,1,0))))</f>
        <v>2</v>
      </c>
      <c r="Q27" s="35">
        <f>IF(Q$22=$E27,0,INDEX(Results!$B$2:$O$282,MATCH(DummyStandings!$E27&amp;DummyStandings!Q$22,Results!$K$2:$K$282,0),3)-INDEX(Results!$B$2:$O$282,MATCH(DummyStandings!$E27&amp;DummyStandings!Q$22,Results!$K$2:$K$282,0),3))</f>
        <v>0</v>
      </c>
      <c r="R27" s="137">
        <f t="shared" si="66"/>
        <v>0</v>
      </c>
      <c r="S27" s="34">
        <f>IF(S$22=$E27,0,IF(AND(INDEX(Results!$B$2:$AB$282,MATCH(DummyStandings!S$22&amp;DummyStandings!$E27,Results!$K$2:$K$282,0),11)=DummyStandings!$E27,INDEX(Results!$B$2:$AB$282,MATCH(DummyStandings!$E27&amp;DummyStandings!S$22,Results!$K$2:$K$282,0),11)=DummyStandings!$E27),2,IF(INDEX(Results!$B$2:$AB$282,MATCH(DummyStandings!S$22&amp;DummyStandings!$E27,Results!$K$2:$K$282,0),11)=DummyStandings!$E27,1,IF(INDEX(Results!$B$2:$AB$282,MATCH(DummyStandings!$E27&amp;DummyStandings!S$22,Results!$K$2:$K$282,0),11)=DummyStandings!$E27,1,0))))</f>
        <v>0</v>
      </c>
      <c r="T27" s="35">
        <f>IF(T$22=$E27,0,INDEX(Results!$B$2:$O$282,MATCH(DummyStandings!$E27&amp;DummyStandings!T$22,Results!$K$2:$K$282,0),3)-INDEX(Results!$B$2:$O$282,MATCH(DummyStandings!$E27&amp;DummyStandings!T$22,Results!$K$2:$K$282,0),3))</f>
        <v>0</v>
      </c>
      <c r="U27" s="137">
        <f t="shared" si="67"/>
        <v>0</v>
      </c>
      <c r="V27" s="34">
        <f>IF(V$22=$E27,0,IF(AND(INDEX(Results!$B$2:$AB$282,MATCH(DummyStandings!V$22&amp;DummyStandings!$E27,Results!$K$2:$K$282,0),11)=DummyStandings!$E27,INDEX(Results!$B$2:$AB$282,MATCH(DummyStandings!$E27&amp;DummyStandings!V$22,Results!$K$2:$K$282,0),11)=DummyStandings!$E27),2,IF(INDEX(Results!$B$2:$AB$282,MATCH(DummyStandings!V$22&amp;DummyStandings!$E27,Results!$K$2:$K$282,0),11)=DummyStandings!$E27,1,IF(INDEX(Results!$B$2:$AB$282,MATCH(DummyStandings!$E27&amp;DummyStandings!V$22,Results!$K$2:$K$282,0),11)=DummyStandings!$E27,1,0))))</f>
        <v>0</v>
      </c>
      <c r="W27" s="35">
        <f>IF(W$22=$E27,0,INDEX(Results!$B$2:$O$282,MATCH(DummyStandings!$E27&amp;DummyStandings!W$22,Results!$K$2:$K$282,0),3)-INDEX(Results!$B$2:$O$282,MATCH(DummyStandings!$E27&amp;DummyStandings!W$22,Results!$K$2:$K$282,0),3))</f>
        <v>0</v>
      </c>
      <c r="X27" s="137">
        <f t="shared" si="68"/>
        <v>0</v>
      </c>
      <c r="Y27" s="34">
        <f>IF(Y$22=$E27,0,IF(AND(INDEX(Results!$B$2:$AB$282,MATCH(DummyStandings!Y$22&amp;DummyStandings!$E27,Results!$K$2:$K$282,0),11)=DummyStandings!$E27,INDEX(Results!$B$2:$AB$282,MATCH(DummyStandings!$E27&amp;DummyStandings!Y$22,Results!$K$2:$K$282,0),11)=DummyStandings!$E27),2,IF(INDEX(Results!$B$2:$AB$282,MATCH(DummyStandings!Y$22&amp;DummyStandings!$E27,Results!$K$2:$K$282,0),11)=DummyStandings!$E27,1,IF(INDEX(Results!$B$2:$AB$282,MATCH(DummyStandings!$E27&amp;DummyStandings!Y$22,Results!$K$2:$K$282,0),11)=DummyStandings!$E27,1,0))))</f>
        <v>2</v>
      </c>
      <c r="Z27" s="35">
        <f>IF(Z$22=$E27,0,INDEX(Results!$B$2:$O$282,MATCH(DummyStandings!$E27&amp;DummyStandings!Z$22,Results!$K$2:$K$282,0),3)-INDEX(Results!$B$2:$O$282,MATCH(DummyStandings!$E27&amp;DummyStandings!Z$22,Results!$K$2:$K$282,0),3))</f>
        <v>0</v>
      </c>
      <c r="AA27" s="137">
        <f t="shared" si="69"/>
        <v>0</v>
      </c>
      <c r="AB27" s="34">
        <f>IF(AB$22=$E27,0,IF(AND(INDEX(Results!$B$2:$AB$282,MATCH(DummyStandings!AB$22&amp;DummyStandings!$E27,Results!$K$2:$K$282,0),11)=DummyStandings!$E27,INDEX(Results!$B$2:$AB$282,MATCH(DummyStandings!$E27&amp;DummyStandings!AB$22,Results!$K$2:$K$282,0),11)=DummyStandings!$E27),2,IF(INDEX(Results!$B$2:$AB$282,MATCH(DummyStandings!AB$22&amp;DummyStandings!$E27,Results!$K$2:$K$282,0),11)=DummyStandings!$E27,1,IF(INDEX(Results!$B$2:$AB$282,MATCH(DummyStandings!$E27&amp;DummyStandings!AB$22,Results!$K$2:$K$282,0),11)=DummyStandings!$E27,1,0))))</f>
        <v>2</v>
      </c>
      <c r="AC27" s="35">
        <f>IF(AC$22=$E27,0,INDEX(Results!$B$2:$O$282,MATCH(DummyStandings!$E27&amp;DummyStandings!AC$22,Results!$K$2:$K$282,0),3)-INDEX(Results!$B$2:$O$282,MATCH(DummyStandings!$E27&amp;DummyStandings!AC$22,Results!$K$2:$K$282,0),3))</f>
        <v>0</v>
      </c>
      <c r="AD27" s="132">
        <f t="shared" si="79"/>
        <v>0</v>
      </c>
      <c r="AE27" s="137">
        <f t="shared" si="79"/>
        <v>0</v>
      </c>
      <c r="AF27" s="137">
        <f t="shared" si="70"/>
        <v>4</v>
      </c>
      <c r="AG27" s="132">
        <f t="shared" si="19"/>
        <v>1</v>
      </c>
      <c r="AH27" s="34">
        <f t="shared" si="71"/>
        <v>0</v>
      </c>
      <c r="AI27" s="137">
        <f t="shared" si="72"/>
        <v>0</v>
      </c>
      <c r="AJ27" s="137">
        <f t="shared" si="73"/>
        <v>0</v>
      </c>
      <c r="AK27" s="137">
        <f t="shared" si="74"/>
        <v>0</v>
      </c>
      <c r="AL27" s="132">
        <f t="shared" si="20"/>
        <v>0</v>
      </c>
      <c r="AM27" s="34">
        <f t="shared" si="21"/>
        <v>14</v>
      </c>
      <c r="AN27" s="34">
        <f t="shared" si="22"/>
        <v>12</v>
      </c>
      <c r="AO27" s="34">
        <f t="shared" si="23"/>
        <v>2</v>
      </c>
      <c r="AP27" s="34">
        <f t="shared" si="24"/>
        <v>331</v>
      </c>
      <c r="AQ27" s="34">
        <f t="shared" si="25"/>
        <v>115</v>
      </c>
      <c r="AR27" s="34">
        <f t="shared" si="26"/>
        <v>216</v>
      </c>
      <c r="AS27" s="137">
        <f t="shared" si="27"/>
        <v>7</v>
      </c>
      <c r="AT27" s="34">
        <f>SUMPRODUCT((Results!$C$3:$C$282=DummyStandings!$C27)*(Results!$D$3:$D$282&gt;Results!$E$3:$E$282))</f>
        <v>6</v>
      </c>
      <c r="AU27" s="34">
        <f>SUMPRODUCT((Results!$C$3:$C$282=DummyStandings!$C27)*(Results!$D$3:$D$282&lt;Results!$E$3:$E$282))</f>
        <v>1</v>
      </c>
      <c r="AV27" s="34">
        <f>SUMIF(Results!$C$3:$C$282,$C27,Results!$D$3:$D$282)</f>
        <v>170</v>
      </c>
      <c r="AW27" s="34">
        <f>SUMIF(Results!$C$3:$C$282,$C27,Results!$E$3:$E$282)</f>
        <v>45</v>
      </c>
      <c r="AX27" s="34">
        <f t="shared" si="28"/>
        <v>125</v>
      </c>
      <c r="AY27" s="137">
        <f t="shared" si="29"/>
        <v>7</v>
      </c>
      <c r="AZ27" s="34">
        <f>SUMPRODUCT((Results!$F$3:$F$282=DummyStandings!$C27)*(Results!$E$3:$E$282&gt;Results!$D$3:$D$282))</f>
        <v>6</v>
      </c>
      <c r="BA27" s="34">
        <f>SUMPRODUCT((Results!$F$3:$F$282=DummyStandings!$C27)*(Results!$E$3:$E$282&lt;Results!$D$3:$D$282))</f>
        <v>1</v>
      </c>
      <c r="BB27" s="34">
        <f>SUMIF(Results!$F$3:$F$282,$C27,Results!$E$3:$E$282)</f>
        <v>161</v>
      </c>
      <c r="BC27" s="34">
        <f>SUMIF(Results!$F$3:$F$282,$C27,Results!$D$3:$D$282)</f>
        <v>70</v>
      </c>
      <c r="BD27" s="35">
        <f t="shared" si="30"/>
        <v>91</v>
      </c>
      <c r="BE27" s="34">
        <f>INDEX(Teams!$B$5:$H$45,MATCH(DummyStandings!E27,Teams!$G$5:$G$45,0),7)</f>
        <v>12</v>
      </c>
      <c r="BF27" s="272">
        <f t="shared" si="40"/>
        <v>0.857142857142857</v>
      </c>
      <c r="BG27" s="275">
        <f t="shared" si="31"/>
        <v>0.32571428571428573</v>
      </c>
      <c r="BH27" s="275">
        <f t="shared" si="41"/>
        <v>0.6799999999999998</v>
      </c>
      <c r="BI27" s="34">
        <v>1</v>
      </c>
      <c r="BJ27" s="132">
        <f t="shared" si="32"/>
        <v>5</v>
      </c>
      <c r="BK27" s="35">
        <f t="shared" si="33"/>
        <v>0</v>
      </c>
      <c r="BL27" s="35">
        <f t="shared" si="34"/>
        <v>0</v>
      </c>
      <c r="BM27" s="35">
        <f t="shared" si="35"/>
        <v>0</v>
      </c>
      <c r="BN27" s="35">
        <f t="shared" si="36"/>
        <v>0</v>
      </c>
      <c r="BO27" s="35">
        <f t="shared" si="37"/>
        <v>0</v>
      </c>
      <c r="BP27" s="137">
        <f t="shared" si="38"/>
        <v>0</v>
      </c>
      <c r="BQ27" s="132">
        <f t="shared" si="75"/>
        <v>6</v>
      </c>
      <c r="BR27" s="137">
        <f t="shared" si="76"/>
        <v>-1</v>
      </c>
      <c r="BS27" s="132">
        <f t="shared" si="77"/>
        <v>0</v>
      </c>
      <c r="BT27" s="35">
        <f t="shared" si="39"/>
        <v>4</v>
      </c>
    </row>
    <row r="28" spans="2:72" ht="12.75">
      <c r="B28" s="132">
        <f t="shared" si="78"/>
        <v>1</v>
      </c>
      <c r="C28" s="161" t="str">
        <f>Teams!B27</f>
        <v>University of Port Salem</v>
      </c>
      <c r="D28" s="137" t="str">
        <f>INDEX(Teams!$B$5:$F$45,MATCH(DummyStandings!$C28,Teams!$B$5:$B$45,0),COLUMN()+1)</f>
        <v>Mineral</v>
      </c>
      <c r="E28" s="165" t="str">
        <f>INDEX(Teams!$B$5:$H$45,MATCH(DummyStandings!$C28,Teams!$B$5:$B$45,0),6)</f>
        <v>UPSL</v>
      </c>
      <c r="F28" s="137">
        <f t="shared" si="62"/>
        <v>0</v>
      </c>
      <c r="G28" s="34">
        <f>IF(G$22=$E28,0,IF(AND(INDEX(Results!$B$2:$AB$282,MATCH(DummyStandings!G$22&amp;DummyStandings!$E28,Results!$K$2:$K$282,0),11)=DummyStandings!$E28,INDEX(Results!$B$2:$AB$282,MATCH(DummyStandings!$E28&amp;DummyStandings!G$22,Results!$K$2:$K$282,0),11)=DummyStandings!$E28),2,IF(INDEX(Results!$B$2:$AB$282,MATCH(DummyStandings!G$22&amp;DummyStandings!$E28,Results!$K$2:$K$282,0),11)=DummyStandings!$E28,1,IF(INDEX(Results!$B$2:$AB$282,MATCH(DummyStandings!$E28&amp;DummyStandings!G$22,Results!$K$2:$K$282,0),11)=DummyStandings!$E28,1,0))))</f>
        <v>2</v>
      </c>
      <c r="H28" s="35">
        <f>IF(H$22=$E28,0,INDEX(Results!$B$2:$O$282,MATCH(DummyStandings!$E28&amp;DummyStandings!H$22,Results!$K$2:$K$282,0),3)-INDEX(Results!$B$2:$O$282,MATCH(DummyStandings!$E28&amp;DummyStandings!H$22,Results!$K$2:$K$282,0),3))</f>
        <v>0</v>
      </c>
      <c r="I28" s="137">
        <f t="shared" si="63"/>
        <v>0</v>
      </c>
      <c r="J28" s="34">
        <f>IF(J$22=$E28,0,IF(AND(INDEX(Results!$B$2:$AB$282,MATCH(DummyStandings!J$22&amp;DummyStandings!$E28,Results!$K$2:$K$282,0),11)=DummyStandings!$E28,INDEX(Results!$B$2:$AB$282,MATCH(DummyStandings!$E28&amp;DummyStandings!J$22,Results!$K$2:$K$282,0),11)=DummyStandings!$E28),2,IF(INDEX(Results!$B$2:$AB$282,MATCH(DummyStandings!J$22&amp;DummyStandings!$E28,Results!$K$2:$K$282,0),11)=DummyStandings!$E28,1,IF(INDEX(Results!$B$2:$AB$282,MATCH(DummyStandings!$E28&amp;DummyStandings!J$22,Results!$K$2:$K$282,0),11)=DummyStandings!$E28,1,0))))</f>
        <v>2</v>
      </c>
      <c r="K28" s="35">
        <f>IF(K$22=$E28,0,INDEX(Results!$B$2:$O$282,MATCH(DummyStandings!$E28&amp;DummyStandings!K$22,Results!$K$2:$K$282,0),3)-INDEX(Results!$B$2:$O$282,MATCH(DummyStandings!$E28&amp;DummyStandings!K$22,Results!$K$2:$K$282,0),3))</f>
        <v>0</v>
      </c>
      <c r="L28" s="137">
        <f t="shared" si="64"/>
        <v>0</v>
      </c>
      <c r="M28" s="34">
        <f>IF(M$22=$E28,0,IF(AND(INDEX(Results!$B$2:$AB$282,MATCH(DummyStandings!M$22&amp;DummyStandings!$E28,Results!$K$2:$K$282,0),11)=DummyStandings!$E28,INDEX(Results!$B$2:$AB$282,MATCH(DummyStandings!$E28&amp;DummyStandings!M$22,Results!$K$2:$K$282,0),11)=DummyStandings!$E28),2,IF(INDEX(Results!$B$2:$AB$282,MATCH(DummyStandings!M$22&amp;DummyStandings!$E28,Results!$K$2:$K$282,0),11)=DummyStandings!$E28,1,IF(INDEX(Results!$B$2:$AB$282,MATCH(DummyStandings!$E28&amp;DummyStandings!M$22,Results!$K$2:$K$282,0),11)=DummyStandings!$E28,1,0))))</f>
        <v>2</v>
      </c>
      <c r="N28" s="35">
        <f>IF(N$22=$E28,0,INDEX(Results!$B$2:$O$282,MATCH(DummyStandings!$E28&amp;DummyStandings!N$22,Results!$K$2:$K$282,0),3)-INDEX(Results!$B$2:$O$282,MATCH(DummyStandings!$E28&amp;DummyStandings!N$22,Results!$K$2:$K$282,0),3))</f>
        <v>0</v>
      </c>
      <c r="O28" s="137">
        <f t="shared" si="65"/>
        <v>0</v>
      </c>
      <c r="P28" s="34">
        <f>IF(P$22=$E28,0,IF(AND(INDEX(Results!$B$2:$AB$282,MATCH(DummyStandings!P$22&amp;DummyStandings!$E28,Results!$K$2:$K$282,0),11)=DummyStandings!$E28,INDEX(Results!$B$2:$AB$282,MATCH(DummyStandings!$E28&amp;DummyStandings!P$22,Results!$K$2:$K$282,0),11)=DummyStandings!$E28),2,IF(INDEX(Results!$B$2:$AB$282,MATCH(DummyStandings!P$22&amp;DummyStandings!$E28,Results!$K$2:$K$282,0),11)=DummyStandings!$E28,1,IF(INDEX(Results!$B$2:$AB$282,MATCH(DummyStandings!$E28&amp;DummyStandings!P$22,Results!$K$2:$K$282,0),11)=DummyStandings!$E28,1,0))))</f>
        <v>2</v>
      </c>
      <c r="Q28" s="35">
        <f>IF(Q$22=$E28,0,INDEX(Results!$B$2:$O$282,MATCH(DummyStandings!$E28&amp;DummyStandings!Q$22,Results!$K$2:$K$282,0),3)-INDEX(Results!$B$2:$O$282,MATCH(DummyStandings!$E28&amp;DummyStandings!Q$22,Results!$K$2:$K$282,0),3))</f>
        <v>0</v>
      </c>
      <c r="R28" s="137">
        <f t="shared" si="66"/>
        <v>0</v>
      </c>
      <c r="S28" s="34">
        <f>IF(S$22=$E28,0,IF(AND(INDEX(Results!$B$2:$AB$282,MATCH(DummyStandings!S$22&amp;DummyStandings!$E28,Results!$K$2:$K$282,0),11)=DummyStandings!$E28,INDEX(Results!$B$2:$AB$282,MATCH(DummyStandings!$E28&amp;DummyStandings!S$22,Results!$K$2:$K$282,0),11)=DummyStandings!$E28),2,IF(INDEX(Results!$B$2:$AB$282,MATCH(DummyStandings!S$22&amp;DummyStandings!$E28,Results!$K$2:$K$282,0),11)=DummyStandings!$E28,1,IF(INDEX(Results!$B$2:$AB$282,MATCH(DummyStandings!$E28&amp;DummyStandings!S$22,Results!$K$2:$K$282,0),11)=DummyStandings!$E28,1,0))))</f>
        <v>2</v>
      </c>
      <c r="T28" s="35">
        <f>IF(T$22=$E28,0,INDEX(Results!$B$2:$O$282,MATCH(DummyStandings!$E28&amp;DummyStandings!T$22,Results!$K$2:$K$282,0),3)-INDEX(Results!$B$2:$O$282,MATCH(DummyStandings!$E28&amp;DummyStandings!T$22,Results!$K$2:$K$282,0),3))</f>
        <v>0</v>
      </c>
      <c r="U28" s="137">
        <f t="shared" si="67"/>
        <v>0</v>
      </c>
      <c r="V28" s="34">
        <f>IF(V$22=$E28,0,IF(AND(INDEX(Results!$B$2:$AB$282,MATCH(DummyStandings!V$22&amp;DummyStandings!$E28,Results!$K$2:$K$282,0),11)=DummyStandings!$E28,INDEX(Results!$B$2:$AB$282,MATCH(DummyStandings!$E28&amp;DummyStandings!V$22,Results!$K$2:$K$282,0),11)=DummyStandings!$E28),2,IF(INDEX(Results!$B$2:$AB$282,MATCH(DummyStandings!V$22&amp;DummyStandings!$E28,Results!$K$2:$K$282,0),11)=DummyStandings!$E28,1,IF(INDEX(Results!$B$2:$AB$282,MATCH(DummyStandings!$E28&amp;DummyStandings!V$22,Results!$K$2:$K$282,0),11)=DummyStandings!$E28,1,0))))</f>
        <v>0</v>
      </c>
      <c r="W28" s="35">
        <f>IF(W$22=$E28,0,INDEX(Results!$B$2:$O$282,MATCH(DummyStandings!$E28&amp;DummyStandings!W$22,Results!$K$2:$K$282,0),3)-INDEX(Results!$B$2:$O$282,MATCH(DummyStandings!$E28&amp;DummyStandings!W$22,Results!$K$2:$K$282,0),3))</f>
        <v>0</v>
      </c>
      <c r="X28" s="137">
        <f t="shared" si="68"/>
        <v>0</v>
      </c>
      <c r="Y28" s="34">
        <f>IF(Y$22=$E28,0,IF(AND(INDEX(Results!$B$2:$AB$282,MATCH(DummyStandings!Y$22&amp;DummyStandings!$E28,Results!$K$2:$K$282,0),11)=DummyStandings!$E28,INDEX(Results!$B$2:$AB$282,MATCH(DummyStandings!$E28&amp;DummyStandings!Y$22,Results!$K$2:$K$282,0),11)=DummyStandings!$E28),2,IF(INDEX(Results!$B$2:$AB$282,MATCH(DummyStandings!Y$22&amp;DummyStandings!$E28,Results!$K$2:$K$282,0),11)=DummyStandings!$E28,1,IF(INDEX(Results!$B$2:$AB$282,MATCH(DummyStandings!$E28&amp;DummyStandings!Y$22,Results!$K$2:$K$282,0),11)=DummyStandings!$E28,1,0))))</f>
        <v>2</v>
      </c>
      <c r="Z28" s="35">
        <f>IF(Z$22=$E28,0,INDEX(Results!$B$2:$O$282,MATCH(DummyStandings!$E28&amp;DummyStandings!Z$22,Results!$K$2:$K$282,0),3)-INDEX(Results!$B$2:$O$282,MATCH(DummyStandings!$E28&amp;DummyStandings!Z$22,Results!$K$2:$K$282,0),3))</f>
        <v>0</v>
      </c>
      <c r="AA28" s="137">
        <f t="shared" si="69"/>
        <v>0</v>
      </c>
      <c r="AB28" s="34">
        <f>IF(AB$22=$E28,0,IF(AND(INDEX(Results!$B$2:$AB$282,MATCH(DummyStandings!AB$22&amp;DummyStandings!$E28,Results!$K$2:$K$282,0),11)=DummyStandings!$E28,INDEX(Results!$B$2:$AB$282,MATCH(DummyStandings!$E28&amp;DummyStandings!AB$22,Results!$K$2:$K$282,0),11)=DummyStandings!$E28),2,IF(INDEX(Results!$B$2:$AB$282,MATCH(DummyStandings!AB$22&amp;DummyStandings!$E28,Results!$K$2:$K$282,0),11)=DummyStandings!$E28,1,IF(INDEX(Results!$B$2:$AB$282,MATCH(DummyStandings!$E28&amp;DummyStandings!AB$22,Results!$K$2:$K$282,0),11)=DummyStandings!$E28,1,0))))</f>
        <v>2</v>
      </c>
      <c r="AC28" s="35">
        <f>IF(AC$22=$E28,0,INDEX(Results!$B$2:$O$282,MATCH(DummyStandings!$E28&amp;DummyStandings!AC$22,Results!$K$2:$K$282,0),3)-INDEX(Results!$B$2:$O$282,MATCH(DummyStandings!$E28&amp;DummyStandings!AC$22,Results!$K$2:$K$282,0),3))</f>
        <v>0</v>
      </c>
      <c r="AD28" s="132">
        <f t="shared" si="79"/>
        <v>0</v>
      </c>
      <c r="AE28" s="137">
        <f t="shared" si="79"/>
        <v>0</v>
      </c>
      <c r="AF28" s="137">
        <f t="shared" si="70"/>
        <v>1</v>
      </c>
      <c r="AG28" s="132">
        <f t="shared" si="19"/>
        <v>0</v>
      </c>
      <c r="AH28" s="34">
        <f t="shared" si="71"/>
        <v>0</v>
      </c>
      <c r="AI28" s="137">
        <f t="shared" si="72"/>
        <v>0</v>
      </c>
      <c r="AJ28" s="137">
        <f t="shared" si="73"/>
        <v>0</v>
      </c>
      <c r="AK28" s="137">
        <f t="shared" si="74"/>
        <v>0</v>
      </c>
      <c r="AL28" s="132">
        <f t="shared" si="20"/>
        <v>0</v>
      </c>
      <c r="AM28" s="34">
        <f t="shared" si="21"/>
        <v>14</v>
      </c>
      <c r="AN28" s="34">
        <f t="shared" si="22"/>
        <v>14</v>
      </c>
      <c r="AO28" s="34">
        <f t="shared" si="23"/>
        <v>0</v>
      </c>
      <c r="AP28" s="34">
        <f t="shared" si="24"/>
        <v>387</v>
      </c>
      <c r="AQ28" s="34">
        <f t="shared" si="25"/>
        <v>108</v>
      </c>
      <c r="AR28" s="34">
        <f t="shared" si="26"/>
        <v>279</v>
      </c>
      <c r="AS28" s="137">
        <f t="shared" si="27"/>
        <v>7</v>
      </c>
      <c r="AT28" s="34">
        <f>SUMPRODUCT((Results!$C$3:$C$282=DummyStandings!$C28)*(Results!$D$3:$D$282&gt;Results!$E$3:$E$282))</f>
        <v>7</v>
      </c>
      <c r="AU28" s="34">
        <f>SUMPRODUCT((Results!$C$3:$C$282=DummyStandings!$C28)*(Results!$D$3:$D$282&lt;Results!$E$3:$E$282))</f>
        <v>0</v>
      </c>
      <c r="AV28" s="34">
        <f>SUMIF(Results!$C$3:$C$282,$C28,Results!$D$3:$D$282)</f>
        <v>205</v>
      </c>
      <c r="AW28" s="34">
        <f>SUMIF(Results!$C$3:$C$282,$C28,Results!$E$3:$E$282)</f>
        <v>30</v>
      </c>
      <c r="AX28" s="34">
        <f t="shared" si="28"/>
        <v>175</v>
      </c>
      <c r="AY28" s="137">
        <f t="shared" si="29"/>
        <v>7</v>
      </c>
      <c r="AZ28" s="34">
        <f>SUMPRODUCT((Results!$F$3:$F$282=DummyStandings!$C28)*(Results!$E$3:$E$282&gt;Results!$D$3:$D$282))</f>
        <v>7</v>
      </c>
      <c r="BA28" s="34">
        <f>SUMPRODUCT((Results!$F$3:$F$282=DummyStandings!$C28)*(Results!$E$3:$E$282&lt;Results!$D$3:$D$282))</f>
        <v>0</v>
      </c>
      <c r="BB28" s="34">
        <f>SUMIF(Results!$F$3:$F$282,$C28,Results!$E$3:$E$282)</f>
        <v>182</v>
      </c>
      <c r="BC28" s="34">
        <f>SUMIF(Results!$F$3:$F$282,$C28,Results!$D$3:$D$282)</f>
        <v>78</v>
      </c>
      <c r="BD28" s="35">
        <f t="shared" si="30"/>
        <v>104</v>
      </c>
      <c r="BE28" s="34">
        <f>INDEX(Teams!$B$5:$H$45,MATCH(DummyStandings!E28,Teams!$G$5:$G$45,0),7)</f>
        <v>5</v>
      </c>
      <c r="BF28" s="272">
        <f t="shared" si="40"/>
        <v>1</v>
      </c>
      <c r="BG28" s="275">
        <f t="shared" si="31"/>
        <v>0.31142857142857144</v>
      </c>
      <c r="BH28" s="275">
        <f t="shared" si="41"/>
        <v>0.7704761904761904</v>
      </c>
      <c r="BI28" s="34">
        <v>1</v>
      </c>
      <c r="BJ28" s="132">
        <f t="shared" si="32"/>
        <v>0</v>
      </c>
      <c r="BK28" s="35">
        <f t="shared" si="33"/>
        <v>0</v>
      </c>
      <c r="BL28" s="35">
        <f t="shared" si="34"/>
        <v>0</v>
      </c>
      <c r="BM28" s="35">
        <f t="shared" si="35"/>
        <v>0</v>
      </c>
      <c r="BN28" s="35">
        <f t="shared" si="36"/>
        <v>0</v>
      </c>
      <c r="BO28" s="35">
        <f t="shared" si="37"/>
        <v>0</v>
      </c>
      <c r="BP28" s="137">
        <f t="shared" si="38"/>
        <v>0</v>
      </c>
      <c r="BQ28" s="132">
        <f t="shared" si="75"/>
        <v>1</v>
      </c>
      <c r="BR28" s="137">
        <f t="shared" si="76"/>
        <v>0</v>
      </c>
      <c r="BS28" s="132">
        <f t="shared" si="77"/>
        <v>0</v>
      </c>
      <c r="BT28" s="35">
        <f t="shared" si="39"/>
        <v>1</v>
      </c>
    </row>
    <row r="29" spans="2:72" ht="12.75">
      <c r="B29" s="132">
        <f t="shared" si="78"/>
        <v>33</v>
      </c>
      <c r="C29" s="161" t="str">
        <f>Teams!B28</f>
        <v>University of Richardsburg</v>
      </c>
      <c r="D29" s="137" t="str">
        <f>INDEX(Teams!$B$5:$F$45,MATCH(DummyStandings!$C29,Teams!$B$5:$B$45,0),COLUMN()+1)</f>
        <v>Mineral</v>
      </c>
      <c r="E29" s="165" t="str">
        <f>INDEX(Teams!$B$5:$H$45,MATCH(DummyStandings!$C29,Teams!$B$5:$B$45,0),6)</f>
        <v>RICH</v>
      </c>
      <c r="F29" s="137">
        <f t="shared" si="62"/>
        <v>0</v>
      </c>
      <c r="G29" s="34">
        <f>IF(G$22=$E29,0,IF(AND(INDEX(Results!$B$2:$AB$282,MATCH(DummyStandings!G$22&amp;DummyStandings!$E29,Results!$K$2:$K$282,0),11)=DummyStandings!$E29,INDEX(Results!$B$2:$AB$282,MATCH(DummyStandings!$E29&amp;DummyStandings!G$22,Results!$K$2:$K$282,0),11)=DummyStandings!$E29),2,IF(INDEX(Results!$B$2:$AB$282,MATCH(DummyStandings!G$22&amp;DummyStandings!$E29,Results!$K$2:$K$282,0),11)=DummyStandings!$E29,1,IF(INDEX(Results!$B$2:$AB$282,MATCH(DummyStandings!$E29&amp;DummyStandings!G$22,Results!$K$2:$K$282,0),11)=DummyStandings!$E29,1,0))))</f>
        <v>2</v>
      </c>
      <c r="H29" s="35">
        <f>IF(H$22=$E29,0,INDEX(Results!$B$2:$O$282,MATCH(DummyStandings!$E29&amp;DummyStandings!H$22,Results!$K$2:$K$282,0),3)-INDEX(Results!$B$2:$O$282,MATCH(DummyStandings!$E29&amp;DummyStandings!H$22,Results!$K$2:$K$282,0),3))</f>
        <v>0</v>
      </c>
      <c r="I29" s="137">
        <f t="shared" si="63"/>
        <v>0</v>
      </c>
      <c r="J29" s="34">
        <f>IF(J$22=$E29,0,IF(AND(INDEX(Results!$B$2:$AB$282,MATCH(DummyStandings!J$22&amp;DummyStandings!$E29,Results!$K$2:$K$282,0),11)=DummyStandings!$E29,INDEX(Results!$B$2:$AB$282,MATCH(DummyStandings!$E29&amp;DummyStandings!J$22,Results!$K$2:$K$282,0),11)=DummyStandings!$E29),2,IF(INDEX(Results!$B$2:$AB$282,MATCH(DummyStandings!J$22&amp;DummyStandings!$E29,Results!$K$2:$K$282,0),11)=DummyStandings!$E29,1,IF(INDEX(Results!$B$2:$AB$282,MATCH(DummyStandings!$E29&amp;DummyStandings!J$22,Results!$K$2:$K$282,0),11)=DummyStandings!$E29,1,0))))</f>
        <v>0</v>
      </c>
      <c r="K29" s="35">
        <f>IF(K$22=$E29,0,INDEX(Results!$B$2:$O$282,MATCH(DummyStandings!$E29&amp;DummyStandings!K$22,Results!$K$2:$K$282,0),3)-INDEX(Results!$B$2:$O$282,MATCH(DummyStandings!$E29&amp;DummyStandings!K$22,Results!$K$2:$K$282,0),3))</f>
        <v>0</v>
      </c>
      <c r="L29" s="137">
        <f t="shared" si="64"/>
        <v>0</v>
      </c>
      <c r="M29" s="34">
        <f>IF(M$22=$E29,0,IF(AND(INDEX(Results!$B$2:$AB$282,MATCH(DummyStandings!M$22&amp;DummyStandings!$E29,Results!$K$2:$K$282,0),11)=DummyStandings!$E29,INDEX(Results!$B$2:$AB$282,MATCH(DummyStandings!$E29&amp;DummyStandings!M$22,Results!$K$2:$K$282,0),11)=DummyStandings!$E29),2,IF(INDEX(Results!$B$2:$AB$282,MATCH(DummyStandings!M$22&amp;DummyStandings!$E29,Results!$K$2:$K$282,0),11)=DummyStandings!$E29,1,IF(INDEX(Results!$B$2:$AB$282,MATCH(DummyStandings!$E29&amp;DummyStandings!M$22,Results!$K$2:$K$282,0),11)=DummyStandings!$E29,1,0))))</f>
        <v>0</v>
      </c>
      <c r="N29" s="35">
        <f>IF(N$22=$E29,0,INDEX(Results!$B$2:$O$282,MATCH(DummyStandings!$E29&amp;DummyStandings!N$22,Results!$K$2:$K$282,0),3)-INDEX(Results!$B$2:$O$282,MATCH(DummyStandings!$E29&amp;DummyStandings!N$22,Results!$K$2:$K$282,0),3))</f>
        <v>0</v>
      </c>
      <c r="O29" s="137">
        <f t="shared" si="65"/>
        <v>0</v>
      </c>
      <c r="P29" s="34">
        <f>IF(P$22=$E29,0,IF(AND(INDEX(Results!$B$2:$AB$282,MATCH(DummyStandings!P$22&amp;DummyStandings!$E29,Results!$K$2:$K$282,0),11)=DummyStandings!$E29,INDEX(Results!$B$2:$AB$282,MATCH(DummyStandings!$E29&amp;DummyStandings!P$22,Results!$K$2:$K$282,0),11)=DummyStandings!$E29),2,IF(INDEX(Results!$B$2:$AB$282,MATCH(DummyStandings!P$22&amp;DummyStandings!$E29,Results!$K$2:$K$282,0),11)=DummyStandings!$E29,1,IF(INDEX(Results!$B$2:$AB$282,MATCH(DummyStandings!$E29&amp;DummyStandings!P$22,Results!$K$2:$K$282,0),11)=DummyStandings!$E29,1,0))))</f>
        <v>0</v>
      </c>
      <c r="Q29" s="35">
        <f>IF(Q$22=$E29,0,INDEX(Results!$B$2:$O$282,MATCH(DummyStandings!$E29&amp;DummyStandings!Q$22,Results!$K$2:$K$282,0),3)-INDEX(Results!$B$2:$O$282,MATCH(DummyStandings!$E29&amp;DummyStandings!Q$22,Results!$K$2:$K$282,0),3))</f>
        <v>0</v>
      </c>
      <c r="R29" s="137">
        <f t="shared" si="66"/>
        <v>0</v>
      </c>
      <c r="S29" s="34">
        <f>IF(S$22=$E29,0,IF(AND(INDEX(Results!$B$2:$AB$282,MATCH(DummyStandings!S$22&amp;DummyStandings!$E29,Results!$K$2:$K$282,0),11)=DummyStandings!$E29,INDEX(Results!$B$2:$AB$282,MATCH(DummyStandings!$E29&amp;DummyStandings!S$22,Results!$K$2:$K$282,0),11)=DummyStandings!$E29),2,IF(INDEX(Results!$B$2:$AB$282,MATCH(DummyStandings!S$22&amp;DummyStandings!$E29,Results!$K$2:$K$282,0),11)=DummyStandings!$E29,1,IF(INDEX(Results!$B$2:$AB$282,MATCH(DummyStandings!$E29&amp;DummyStandings!S$22,Results!$K$2:$K$282,0),11)=DummyStandings!$E29,1,0))))</f>
        <v>0</v>
      </c>
      <c r="T29" s="35">
        <f>IF(T$22=$E29,0,INDEX(Results!$B$2:$O$282,MATCH(DummyStandings!$E29&amp;DummyStandings!T$22,Results!$K$2:$K$282,0),3)-INDEX(Results!$B$2:$O$282,MATCH(DummyStandings!$E29&amp;DummyStandings!T$22,Results!$K$2:$K$282,0),3))</f>
        <v>0</v>
      </c>
      <c r="U29" s="137">
        <f t="shared" si="67"/>
        <v>0</v>
      </c>
      <c r="V29" s="34">
        <f>IF(V$22=$E29,0,IF(AND(INDEX(Results!$B$2:$AB$282,MATCH(DummyStandings!V$22&amp;DummyStandings!$E29,Results!$K$2:$K$282,0),11)=DummyStandings!$E29,INDEX(Results!$B$2:$AB$282,MATCH(DummyStandings!$E29&amp;DummyStandings!V$22,Results!$K$2:$K$282,0),11)=DummyStandings!$E29),2,IF(INDEX(Results!$B$2:$AB$282,MATCH(DummyStandings!V$22&amp;DummyStandings!$E29,Results!$K$2:$K$282,0),11)=DummyStandings!$E29,1,IF(INDEX(Results!$B$2:$AB$282,MATCH(DummyStandings!$E29&amp;DummyStandings!V$22,Results!$K$2:$K$282,0),11)=DummyStandings!$E29,1,0))))</f>
        <v>0</v>
      </c>
      <c r="W29" s="35">
        <f>IF(W$22=$E29,0,INDEX(Results!$B$2:$O$282,MATCH(DummyStandings!$E29&amp;DummyStandings!W$22,Results!$K$2:$K$282,0),3)-INDEX(Results!$B$2:$O$282,MATCH(DummyStandings!$E29&amp;DummyStandings!W$22,Results!$K$2:$K$282,0),3))</f>
        <v>0</v>
      </c>
      <c r="X29" s="137">
        <f t="shared" si="68"/>
        <v>0</v>
      </c>
      <c r="Y29" s="34">
        <f>IF(Y$22=$E29,0,IF(AND(INDEX(Results!$B$2:$AB$282,MATCH(DummyStandings!Y$22&amp;DummyStandings!$E29,Results!$K$2:$K$282,0),11)=DummyStandings!$E29,INDEX(Results!$B$2:$AB$282,MATCH(DummyStandings!$E29&amp;DummyStandings!Y$22,Results!$K$2:$K$282,0),11)=DummyStandings!$E29),2,IF(INDEX(Results!$B$2:$AB$282,MATCH(DummyStandings!Y$22&amp;DummyStandings!$E29,Results!$K$2:$K$282,0),11)=DummyStandings!$E29,1,IF(INDEX(Results!$B$2:$AB$282,MATCH(DummyStandings!$E29&amp;DummyStandings!Y$22,Results!$K$2:$K$282,0),11)=DummyStandings!$E29,1,0))))</f>
        <v>0</v>
      </c>
      <c r="Z29" s="35">
        <f>IF(Z$22=$E29,0,INDEX(Results!$B$2:$O$282,MATCH(DummyStandings!$E29&amp;DummyStandings!Z$22,Results!$K$2:$K$282,0),3)-INDEX(Results!$B$2:$O$282,MATCH(DummyStandings!$E29&amp;DummyStandings!Z$22,Results!$K$2:$K$282,0),3))</f>
        <v>0</v>
      </c>
      <c r="AA29" s="137">
        <f t="shared" si="69"/>
        <v>0</v>
      </c>
      <c r="AB29" s="34">
        <f>IF(AB$22=$E29,0,IF(AND(INDEX(Results!$B$2:$AB$282,MATCH(DummyStandings!AB$22&amp;DummyStandings!$E29,Results!$K$2:$K$282,0),11)=DummyStandings!$E29,INDEX(Results!$B$2:$AB$282,MATCH(DummyStandings!$E29&amp;DummyStandings!AB$22,Results!$K$2:$K$282,0),11)=DummyStandings!$E29),2,IF(INDEX(Results!$B$2:$AB$282,MATCH(DummyStandings!AB$22&amp;DummyStandings!$E29,Results!$K$2:$K$282,0),11)=DummyStandings!$E29,1,IF(INDEX(Results!$B$2:$AB$282,MATCH(DummyStandings!$E29&amp;DummyStandings!AB$22,Results!$K$2:$K$282,0),11)=DummyStandings!$E29,1,0))))</f>
        <v>1</v>
      </c>
      <c r="AC29" s="35">
        <f>IF(AC$22=$E29,0,INDEX(Results!$B$2:$O$282,MATCH(DummyStandings!$E29&amp;DummyStandings!AC$22,Results!$K$2:$K$282,0),3)-INDEX(Results!$B$2:$O$282,MATCH(DummyStandings!$E29&amp;DummyStandings!AC$22,Results!$K$2:$K$282,0),3))</f>
        <v>0</v>
      </c>
      <c r="AD29" s="132">
        <f t="shared" si="79"/>
        <v>0</v>
      </c>
      <c r="AE29" s="137">
        <f t="shared" si="79"/>
        <v>0</v>
      </c>
      <c r="AF29" s="137">
        <f t="shared" si="70"/>
        <v>32</v>
      </c>
      <c r="AG29" s="132">
        <f t="shared" si="19"/>
        <v>1</v>
      </c>
      <c r="AH29" s="34">
        <f t="shared" si="71"/>
        <v>0</v>
      </c>
      <c r="AI29" s="137">
        <f t="shared" si="72"/>
        <v>0</v>
      </c>
      <c r="AJ29" s="137">
        <f t="shared" si="73"/>
        <v>0</v>
      </c>
      <c r="AK29" s="137">
        <f t="shared" si="74"/>
        <v>0</v>
      </c>
      <c r="AL29" s="132">
        <f t="shared" si="20"/>
        <v>0</v>
      </c>
      <c r="AM29" s="34">
        <f t="shared" si="21"/>
        <v>14</v>
      </c>
      <c r="AN29" s="34">
        <f t="shared" si="22"/>
        <v>3</v>
      </c>
      <c r="AO29" s="34">
        <f t="shared" si="23"/>
        <v>11</v>
      </c>
      <c r="AP29" s="34">
        <f t="shared" si="24"/>
        <v>171</v>
      </c>
      <c r="AQ29" s="34">
        <f t="shared" si="25"/>
        <v>293</v>
      </c>
      <c r="AR29" s="34">
        <f t="shared" si="26"/>
        <v>-122</v>
      </c>
      <c r="AS29" s="137">
        <f t="shared" si="27"/>
        <v>7</v>
      </c>
      <c r="AT29" s="34">
        <f>SUMPRODUCT((Results!$C$3:$C$282=DummyStandings!$C29)*(Results!$D$3:$D$282&gt;Results!$E$3:$E$282))</f>
        <v>2</v>
      </c>
      <c r="AU29" s="34">
        <f>SUMPRODUCT((Results!$C$3:$C$282=DummyStandings!$C29)*(Results!$D$3:$D$282&lt;Results!$E$3:$E$282))</f>
        <v>5</v>
      </c>
      <c r="AV29" s="34">
        <f>SUMIF(Results!$C$3:$C$282,$C29,Results!$D$3:$D$282)</f>
        <v>98</v>
      </c>
      <c r="AW29" s="34">
        <f>SUMIF(Results!$C$3:$C$282,$C29,Results!$E$3:$E$282)</f>
        <v>156</v>
      </c>
      <c r="AX29" s="34">
        <f t="shared" si="28"/>
        <v>-58</v>
      </c>
      <c r="AY29" s="137">
        <f t="shared" si="29"/>
        <v>7</v>
      </c>
      <c r="AZ29" s="34">
        <f>SUMPRODUCT((Results!$F$3:$F$282=DummyStandings!$C29)*(Results!$E$3:$E$282&gt;Results!$D$3:$D$282))</f>
        <v>1</v>
      </c>
      <c r="BA29" s="34">
        <f>SUMPRODUCT((Results!$F$3:$F$282=DummyStandings!$C29)*(Results!$E$3:$E$282&lt;Results!$D$3:$D$282))</f>
        <v>6</v>
      </c>
      <c r="BB29" s="34">
        <f>SUMIF(Results!$F$3:$F$282,$C29,Results!$E$3:$E$282)</f>
        <v>73</v>
      </c>
      <c r="BC29" s="34">
        <f>SUMIF(Results!$F$3:$F$282,$C29,Results!$D$3:$D$282)</f>
        <v>137</v>
      </c>
      <c r="BD29" s="35">
        <f t="shared" si="30"/>
        <v>-64</v>
      </c>
      <c r="BE29" s="34">
        <f>INDEX(Teams!$B$5:$H$45,MATCH(DummyStandings!E29,Teams!$G$5:$G$45,0),7)</f>
        <v>35</v>
      </c>
      <c r="BF29" s="272">
        <f t="shared" si="40"/>
        <v>0.1857142857142857</v>
      </c>
      <c r="BG29" s="275">
        <f t="shared" si="31"/>
        <v>0.3928571428571429</v>
      </c>
      <c r="BH29" s="275">
        <f t="shared" si="41"/>
        <v>0.25476190476190474</v>
      </c>
      <c r="BI29" s="34">
        <v>1</v>
      </c>
      <c r="BJ29" s="132">
        <f t="shared" si="32"/>
        <v>35</v>
      </c>
      <c r="BK29" s="35">
        <f t="shared" si="33"/>
        <v>0</v>
      </c>
      <c r="BL29" s="35">
        <f t="shared" si="34"/>
        <v>0</v>
      </c>
      <c r="BM29" s="35">
        <f t="shared" si="35"/>
        <v>0</v>
      </c>
      <c r="BN29" s="35">
        <f t="shared" si="36"/>
        <v>0</v>
      </c>
      <c r="BO29" s="35">
        <f t="shared" si="37"/>
        <v>0</v>
      </c>
      <c r="BP29" s="137">
        <f t="shared" si="38"/>
        <v>0</v>
      </c>
      <c r="BQ29" s="132">
        <f t="shared" si="75"/>
        <v>36</v>
      </c>
      <c r="BR29" s="137">
        <f t="shared" si="76"/>
        <v>-3</v>
      </c>
      <c r="BS29" s="132">
        <f t="shared" si="77"/>
        <v>0</v>
      </c>
      <c r="BT29" s="35">
        <f t="shared" si="39"/>
        <v>32</v>
      </c>
    </row>
    <row r="30" spans="2:72" ht="13.5" thickBot="1">
      <c r="B30" s="132">
        <f t="shared" si="78"/>
        <v>24</v>
      </c>
      <c r="C30" s="163" t="str">
        <f>Teams!B29</f>
        <v>West Siena Institute of Technology</v>
      </c>
      <c r="D30" s="36" t="str">
        <f>INDEX(Teams!$B$5:$F$45,MATCH(DummyStandings!$C30,Teams!$B$5:$B$45,0),COLUMN()+1)</f>
        <v>Mineral</v>
      </c>
      <c r="E30" s="209" t="str">
        <f>INDEX(Teams!$B$5:$H$45,MATCH(DummyStandings!$C30,Teams!$B$5:$B$45,0),6)</f>
        <v>WSIT</v>
      </c>
      <c r="F30" s="36">
        <f t="shared" si="62"/>
        <v>1</v>
      </c>
      <c r="G30" s="37">
        <f>IF(G$22=$E30,0,IF(AND(INDEX(Results!$B$2:$AB$282,MATCH(DummyStandings!G$22&amp;DummyStandings!$E30,Results!$K$2:$K$282,0),11)=DummyStandings!$E30,INDEX(Results!$B$2:$AB$282,MATCH(DummyStandings!$E30&amp;DummyStandings!G$22,Results!$K$2:$K$282,0),11)=DummyStandings!$E30),2,IF(INDEX(Results!$B$2:$AB$282,MATCH(DummyStandings!G$22&amp;DummyStandings!$E30,Results!$K$2:$K$282,0),11)=DummyStandings!$E30,1,IF(INDEX(Results!$B$2:$AB$282,MATCH(DummyStandings!$E30&amp;DummyStandings!G$22,Results!$K$2:$K$282,0),11)=DummyStandings!$E30,1,0))))</f>
        <v>1</v>
      </c>
      <c r="H30" s="44">
        <f>IF(H$22=$E30,0,INDEX(Results!$B$2:$O$282,MATCH(DummyStandings!$E30&amp;DummyStandings!H$22,Results!$K$2:$K$282,0),3)-INDEX(Results!$B$2:$O$282,MATCH(DummyStandings!$E30&amp;DummyStandings!H$22,Results!$K$2:$K$282,0),3))</f>
        <v>0</v>
      </c>
      <c r="I30" s="36">
        <f t="shared" si="63"/>
        <v>1</v>
      </c>
      <c r="J30" s="37">
        <f>IF(J$22=$E30,0,IF(AND(INDEX(Results!$B$2:$AB$282,MATCH(DummyStandings!J$22&amp;DummyStandings!$E30,Results!$K$2:$K$282,0),11)=DummyStandings!$E30,INDEX(Results!$B$2:$AB$282,MATCH(DummyStandings!$E30&amp;DummyStandings!J$22,Results!$K$2:$K$282,0),11)=DummyStandings!$E30),2,IF(INDEX(Results!$B$2:$AB$282,MATCH(DummyStandings!J$22&amp;DummyStandings!$E30,Results!$K$2:$K$282,0),11)=DummyStandings!$E30,1,IF(INDEX(Results!$B$2:$AB$282,MATCH(DummyStandings!$E30&amp;DummyStandings!J$22,Results!$K$2:$K$282,0),11)=DummyStandings!$E30,1,0))))</f>
        <v>2</v>
      </c>
      <c r="K30" s="44">
        <f>IF(K$22=$E30,0,INDEX(Results!$B$2:$O$282,MATCH(DummyStandings!$E30&amp;DummyStandings!K$22,Results!$K$2:$K$282,0),3)-INDEX(Results!$B$2:$O$282,MATCH(DummyStandings!$E30&amp;DummyStandings!K$22,Results!$K$2:$K$282,0),3))</f>
        <v>0</v>
      </c>
      <c r="L30" s="36">
        <f t="shared" si="64"/>
        <v>0</v>
      </c>
      <c r="M30" s="37">
        <f>IF(M$22=$E30,0,IF(AND(INDEX(Results!$B$2:$AB$282,MATCH(DummyStandings!M$22&amp;DummyStandings!$E30,Results!$K$2:$K$282,0),11)=DummyStandings!$E30,INDEX(Results!$B$2:$AB$282,MATCH(DummyStandings!$E30&amp;DummyStandings!M$22,Results!$K$2:$K$282,0),11)=DummyStandings!$E30),2,IF(INDEX(Results!$B$2:$AB$282,MATCH(DummyStandings!M$22&amp;DummyStandings!$E30,Results!$K$2:$K$282,0),11)=DummyStandings!$E30,1,IF(INDEX(Results!$B$2:$AB$282,MATCH(DummyStandings!$E30&amp;DummyStandings!M$22,Results!$K$2:$K$282,0),11)=DummyStandings!$E30,1,0))))</f>
        <v>0</v>
      </c>
      <c r="N30" s="44">
        <f>IF(N$22=$E30,0,INDEX(Results!$B$2:$O$282,MATCH(DummyStandings!$E30&amp;DummyStandings!N$22,Results!$K$2:$K$282,0),3)-INDEX(Results!$B$2:$O$282,MATCH(DummyStandings!$E30&amp;DummyStandings!N$22,Results!$K$2:$K$282,0),3))</f>
        <v>0</v>
      </c>
      <c r="O30" s="36">
        <f t="shared" si="65"/>
        <v>1</v>
      </c>
      <c r="P30" s="37">
        <f>IF(P$22=$E30,0,IF(AND(INDEX(Results!$B$2:$AB$282,MATCH(DummyStandings!P$22&amp;DummyStandings!$E30,Results!$K$2:$K$282,0),11)=DummyStandings!$E30,INDEX(Results!$B$2:$AB$282,MATCH(DummyStandings!$E30&amp;DummyStandings!P$22,Results!$K$2:$K$282,0),11)=DummyStandings!$E30),2,IF(INDEX(Results!$B$2:$AB$282,MATCH(DummyStandings!P$22&amp;DummyStandings!$E30,Results!$K$2:$K$282,0),11)=DummyStandings!$E30,1,IF(INDEX(Results!$B$2:$AB$282,MATCH(DummyStandings!$E30&amp;DummyStandings!P$22,Results!$K$2:$K$282,0),11)=DummyStandings!$E30,1,0))))</f>
        <v>1</v>
      </c>
      <c r="Q30" s="44">
        <f>IF(Q$22=$E30,0,INDEX(Results!$B$2:$O$282,MATCH(DummyStandings!$E30&amp;DummyStandings!Q$22,Results!$K$2:$K$282,0),3)-INDEX(Results!$B$2:$O$282,MATCH(DummyStandings!$E30&amp;DummyStandings!Q$22,Results!$K$2:$K$282,0),3))</f>
        <v>0</v>
      </c>
      <c r="R30" s="36">
        <f t="shared" si="66"/>
        <v>0</v>
      </c>
      <c r="S30" s="37">
        <f>IF(S$22=$E30,0,IF(AND(INDEX(Results!$B$2:$AB$282,MATCH(DummyStandings!S$22&amp;DummyStandings!$E30,Results!$K$2:$K$282,0),11)=DummyStandings!$E30,INDEX(Results!$B$2:$AB$282,MATCH(DummyStandings!$E30&amp;DummyStandings!S$22,Results!$K$2:$K$282,0),11)=DummyStandings!$E30),2,IF(INDEX(Results!$B$2:$AB$282,MATCH(DummyStandings!S$22&amp;DummyStandings!$E30,Results!$K$2:$K$282,0),11)=DummyStandings!$E30,1,IF(INDEX(Results!$B$2:$AB$282,MATCH(DummyStandings!$E30&amp;DummyStandings!S$22,Results!$K$2:$K$282,0),11)=DummyStandings!$E30,1,0))))</f>
        <v>0</v>
      </c>
      <c r="T30" s="44">
        <f>IF(T$22=$E30,0,INDEX(Results!$B$2:$O$282,MATCH(DummyStandings!$E30&amp;DummyStandings!T$22,Results!$K$2:$K$282,0),3)-INDEX(Results!$B$2:$O$282,MATCH(DummyStandings!$E30&amp;DummyStandings!T$22,Results!$K$2:$K$282,0),3))</f>
        <v>0</v>
      </c>
      <c r="U30" s="36">
        <f t="shared" si="67"/>
        <v>0</v>
      </c>
      <c r="V30" s="37">
        <f>IF(V$22=$E30,0,IF(AND(INDEX(Results!$B$2:$AB$282,MATCH(DummyStandings!V$22&amp;DummyStandings!$E30,Results!$K$2:$K$282,0),11)=DummyStandings!$E30,INDEX(Results!$B$2:$AB$282,MATCH(DummyStandings!$E30&amp;DummyStandings!V$22,Results!$K$2:$K$282,0),11)=DummyStandings!$E30),2,IF(INDEX(Results!$B$2:$AB$282,MATCH(DummyStandings!V$22&amp;DummyStandings!$E30,Results!$K$2:$K$282,0),11)=DummyStandings!$E30,1,IF(INDEX(Results!$B$2:$AB$282,MATCH(DummyStandings!$E30&amp;DummyStandings!V$22,Results!$K$2:$K$282,0),11)=DummyStandings!$E30,1,0))))</f>
        <v>0</v>
      </c>
      <c r="W30" s="44">
        <f>IF(W$22=$E30,0,INDEX(Results!$B$2:$O$282,MATCH(DummyStandings!$E30&amp;DummyStandings!W$22,Results!$K$2:$K$282,0),3)-INDEX(Results!$B$2:$O$282,MATCH(DummyStandings!$E30&amp;DummyStandings!W$22,Results!$K$2:$K$282,0),3))</f>
        <v>0</v>
      </c>
      <c r="X30" s="36">
        <f t="shared" si="68"/>
        <v>0</v>
      </c>
      <c r="Y30" s="37">
        <f>IF(Y$22=$E30,0,IF(AND(INDEX(Results!$B$2:$AB$282,MATCH(DummyStandings!Y$22&amp;DummyStandings!$E30,Results!$K$2:$K$282,0),11)=DummyStandings!$E30,INDEX(Results!$B$2:$AB$282,MATCH(DummyStandings!$E30&amp;DummyStandings!Y$22,Results!$K$2:$K$282,0),11)=DummyStandings!$E30),2,IF(INDEX(Results!$B$2:$AB$282,MATCH(DummyStandings!Y$22&amp;DummyStandings!$E30,Results!$K$2:$K$282,0),11)=DummyStandings!$E30,1,IF(INDEX(Results!$B$2:$AB$282,MATCH(DummyStandings!$E30&amp;DummyStandings!Y$22,Results!$K$2:$K$282,0),11)=DummyStandings!$E30,1,0))))</f>
        <v>1</v>
      </c>
      <c r="Z30" s="44">
        <f>IF(Z$22=$E30,0,INDEX(Results!$B$2:$O$282,MATCH(DummyStandings!$E30&amp;DummyStandings!Z$22,Results!$K$2:$K$282,0),3)-INDEX(Results!$B$2:$O$282,MATCH(DummyStandings!$E30&amp;DummyStandings!Z$22,Results!$K$2:$K$282,0),3))</f>
        <v>0</v>
      </c>
      <c r="AA30" s="36">
        <f t="shared" si="69"/>
        <v>0</v>
      </c>
      <c r="AB30" s="37">
        <f>IF(AB$22=$E30,0,IF(AND(INDEX(Results!$B$2:$AB$282,MATCH(DummyStandings!AB$22&amp;DummyStandings!$E30,Results!$K$2:$K$282,0),11)=DummyStandings!$E30,INDEX(Results!$B$2:$AB$282,MATCH(DummyStandings!$E30&amp;DummyStandings!AB$22,Results!$K$2:$K$282,0),11)=DummyStandings!$E30),2,IF(INDEX(Results!$B$2:$AB$282,MATCH(DummyStandings!AB$22&amp;DummyStandings!$E30,Results!$K$2:$K$282,0),11)=DummyStandings!$E30,1,IF(INDEX(Results!$B$2:$AB$282,MATCH(DummyStandings!$E30&amp;DummyStandings!AB$22,Results!$K$2:$K$282,0),11)=DummyStandings!$E30,1,0))))</f>
        <v>0</v>
      </c>
      <c r="AC30" s="44">
        <f>IF(AC$22=$E30,0,INDEX(Results!$B$2:$O$282,MATCH(DummyStandings!$E30&amp;DummyStandings!AC$22,Results!$K$2:$K$282,0),3)-INDEX(Results!$B$2:$O$282,MATCH(DummyStandings!$E30&amp;DummyStandings!AC$22,Results!$K$2:$K$282,0),3))</f>
        <v>0</v>
      </c>
      <c r="AD30" s="133">
        <f>($F30*G30)+($I30*J30)+($L30*M30)+($O30*P30)+($R30*S30)+($U30*V30)+($X30*Y30)</f>
        <v>4</v>
      </c>
      <c r="AE30" s="36">
        <f>($F30*H30)+($I30*K30)+($L30*N30)+($O30*Q30)+($R30*T30)+($U30*W30)+($X30*Z30)</f>
        <v>0</v>
      </c>
      <c r="AF30" s="36">
        <f t="shared" si="70"/>
        <v>24</v>
      </c>
      <c r="AG30" s="132">
        <f t="shared" si="19"/>
        <v>0</v>
      </c>
      <c r="AH30" s="37">
        <f t="shared" si="71"/>
        <v>0</v>
      </c>
      <c r="AI30" s="36">
        <f t="shared" si="72"/>
        <v>0</v>
      </c>
      <c r="AJ30" s="36">
        <f t="shared" si="73"/>
        <v>0</v>
      </c>
      <c r="AK30" s="36">
        <f t="shared" si="74"/>
        <v>0</v>
      </c>
      <c r="AL30" s="133">
        <f t="shared" si="20"/>
        <v>0</v>
      </c>
      <c r="AM30" s="37">
        <f aca="true" t="shared" si="80" ref="AM30:AR30">AS30+AY30</f>
        <v>14</v>
      </c>
      <c r="AN30" s="37">
        <f t="shared" si="80"/>
        <v>5</v>
      </c>
      <c r="AO30" s="37">
        <f t="shared" si="80"/>
        <v>9</v>
      </c>
      <c r="AP30" s="37">
        <f t="shared" si="80"/>
        <v>188</v>
      </c>
      <c r="AQ30" s="37">
        <f t="shared" si="80"/>
        <v>284</v>
      </c>
      <c r="AR30" s="37">
        <f t="shared" si="80"/>
        <v>-96</v>
      </c>
      <c r="AS30" s="137">
        <f t="shared" si="27"/>
        <v>7</v>
      </c>
      <c r="AT30" s="34">
        <f>SUMPRODUCT((Results!$C$3:$C$282=DummyStandings!$C30)*(Results!$D$3:$D$282&gt;Results!$E$3:$E$282))</f>
        <v>3</v>
      </c>
      <c r="AU30" s="34">
        <f>SUMPRODUCT((Results!$C$3:$C$282=DummyStandings!$C30)*(Results!$D$3:$D$282&lt;Results!$E$3:$E$282))</f>
        <v>4</v>
      </c>
      <c r="AV30" s="34">
        <f>SUMIF(Results!$C$3:$C$282,$C30,Results!$D$3:$D$282)</f>
        <v>123</v>
      </c>
      <c r="AW30" s="34">
        <f>SUMIF(Results!$C$3:$C$282,$C30,Results!$E$3:$E$282)</f>
        <v>146</v>
      </c>
      <c r="AX30" s="34">
        <f t="shared" si="28"/>
        <v>-23</v>
      </c>
      <c r="AY30" s="36">
        <f t="shared" si="29"/>
        <v>7</v>
      </c>
      <c r="AZ30" s="37">
        <f>SUMPRODUCT((Results!$F$3:$F$282=DummyStandings!$C30)*(Results!$E$3:$E$282&gt;Results!$D$3:$D$282))</f>
        <v>2</v>
      </c>
      <c r="BA30" s="37">
        <f>SUMPRODUCT((Results!$F$3:$F$282=DummyStandings!$C30)*(Results!$E$3:$E$282&lt;Results!$D$3:$D$282))</f>
        <v>5</v>
      </c>
      <c r="BB30" s="37">
        <f>SUMIF(Results!$F$3:$F$282,$C30,Results!$E$3:$E$282)</f>
        <v>65</v>
      </c>
      <c r="BC30" s="37">
        <f>SUMIF(Results!$F$3:$F$282,$C30,Results!$D$3:$D$282)</f>
        <v>138</v>
      </c>
      <c r="BD30" s="44">
        <f t="shared" si="30"/>
        <v>-73</v>
      </c>
      <c r="BE30" s="37">
        <f>INDEX(Teams!$B$5:$H$45,MATCH(DummyStandings!E30,Teams!$G$5:$G$45,0),7)</f>
        <v>39</v>
      </c>
      <c r="BF30" s="272">
        <f t="shared" si="40"/>
        <v>0.32857142857142857</v>
      </c>
      <c r="BG30" s="275">
        <f t="shared" si="31"/>
        <v>0.3785714285714286</v>
      </c>
      <c r="BH30" s="275">
        <f t="shared" si="41"/>
        <v>0.3452380952380953</v>
      </c>
      <c r="BI30" s="34">
        <v>1</v>
      </c>
      <c r="BJ30" s="132">
        <f t="shared" si="32"/>
        <v>25</v>
      </c>
      <c r="BK30" s="35">
        <f t="shared" si="33"/>
        <v>0</v>
      </c>
      <c r="BL30" s="35">
        <f t="shared" si="34"/>
        <v>0</v>
      </c>
      <c r="BM30" s="35">
        <f t="shared" si="35"/>
        <v>0</v>
      </c>
      <c r="BN30" s="35">
        <f t="shared" si="36"/>
        <v>0</v>
      </c>
      <c r="BO30" s="35">
        <f t="shared" si="37"/>
        <v>0</v>
      </c>
      <c r="BP30" s="137">
        <f t="shared" si="38"/>
        <v>0</v>
      </c>
      <c r="BQ30" s="133">
        <f t="shared" si="75"/>
        <v>26</v>
      </c>
      <c r="BR30" s="36">
        <f t="shared" si="76"/>
        <v>-2</v>
      </c>
      <c r="BS30" s="132">
        <f t="shared" si="77"/>
        <v>5</v>
      </c>
      <c r="BT30" s="35">
        <f t="shared" si="39"/>
        <v>29</v>
      </c>
    </row>
    <row r="31" spans="2:72" ht="13.5" thickBot="1">
      <c r="B31" s="139"/>
      <c r="C31" s="162"/>
      <c r="D31" s="138"/>
      <c r="E31" s="166"/>
      <c r="F31" s="130" t="s">
        <v>118</v>
      </c>
      <c r="G31" s="130" t="s">
        <v>118</v>
      </c>
      <c r="H31" s="130" t="s">
        <v>118</v>
      </c>
      <c r="I31" s="130" t="s">
        <v>44</v>
      </c>
      <c r="J31" s="130" t="s">
        <v>44</v>
      </c>
      <c r="K31" s="130" t="s">
        <v>44</v>
      </c>
      <c r="L31" s="130" t="s">
        <v>120</v>
      </c>
      <c r="M31" s="130" t="s">
        <v>120</v>
      </c>
      <c r="N31" s="130" t="s">
        <v>120</v>
      </c>
      <c r="O31" s="130" t="s">
        <v>93</v>
      </c>
      <c r="P31" s="130" t="s">
        <v>93</v>
      </c>
      <c r="Q31" s="130" t="s">
        <v>93</v>
      </c>
      <c r="R31" s="130" t="s">
        <v>90</v>
      </c>
      <c r="S31" s="130" t="s">
        <v>90</v>
      </c>
      <c r="T31" s="130" t="s">
        <v>90</v>
      </c>
      <c r="U31" s="130" t="s">
        <v>45</v>
      </c>
      <c r="V31" s="130" t="s">
        <v>45</v>
      </c>
      <c r="W31" s="130" t="s">
        <v>45</v>
      </c>
      <c r="X31" s="130" t="s">
        <v>261</v>
      </c>
      <c r="Y31" s="130" t="s">
        <v>261</v>
      </c>
      <c r="Z31" s="130" t="s">
        <v>261</v>
      </c>
      <c r="AA31" s="130" t="s">
        <v>46</v>
      </c>
      <c r="AB31" s="130" t="s">
        <v>46</v>
      </c>
      <c r="AC31" s="130" t="s">
        <v>46</v>
      </c>
      <c r="AD31" s="41"/>
      <c r="AE31" s="138"/>
      <c r="AF31" s="138"/>
      <c r="AG31" s="261"/>
      <c r="AH31" s="120"/>
      <c r="AI31" s="138"/>
      <c r="AJ31" s="138"/>
      <c r="AK31" s="138"/>
      <c r="AL31" s="120"/>
      <c r="AM31" s="120"/>
      <c r="AN31" s="120"/>
      <c r="AO31" s="120"/>
      <c r="AP31" s="120"/>
      <c r="AQ31" s="120"/>
      <c r="AR31" s="120"/>
      <c r="AS31" s="38"/>
      <c r="AT31" s="39"/>
      <c r="AU31" s="39"/>
      <c r="AV31" s="39"/>
      <c r="AW31" s="39"/>
      <c r="AX31" s="39"/>
      <c r="AY31" s="269"/>
      <c r="AZ31" s="270"/>
      <c r="BA31" s="270"/>
      <c r="BB31" s="270"/>
      <c r="BC31" s="270"/>
      <c r="BD31" s="271"/>
      <c r="BE31" s="120"/>
      <c r="BF31" s="261"/>
      <c r="BG31" s="268"/>
      <c r="BH31" s="268"/>
      <c r="BI31" s="266"/>
      <c r="BJ31" s="261"/>
      <c r="BK31" s="268"/>
      <c r="BL31" s="268"/>
      <c r="BM31" s="268"/>
      <c r="BN31" s="268"/>
      <c r="BO31" s="268"/>
      <c r="BP31" s="266"/>
      <c r="BQ31" s="266"/>
      <c r="BR31" s="266"/>
      <c r="BS31" s="261"/>
      <c r="BT31" s="267"/>
    </row>
    <row r="32" spans="2:72" ht="12.75">
      <c r="B32" s="131">
        <f>SUM(AF32:AL32)</f>
        <v>16</v>
      </c>
      <c r="C32" s="160" t="str">
        <f>Teams!B30</f>
        <v>Alex Util College</v>
      </c>
      <c r="D32" s="136" t="str">
        <f>INDEX(Teams!$B$5:$F$45,MATCH(DummyStandings!$C32,Teams!$B$5:$B$45,0),COLUMN()+1)</f>
        <v>Sequoia</v>
      </c>
      <c r="E32" s="208" t="str">
        <f>INDEX(Teams!$B$5:$H$45,MATCH(DummyStandings!$C32,Teams!$B$5:$B$45,0),6)</f>
        <v>ALUT</v>
      </c>
      <c r="F32" s="136">
        <f aca="true" t="shared" si="81" ref="F32:F39">IF($E32=F$31,0,IF($AF32=INDEX($B$5:$BD$48,MATCH(F$31,$E$5:$E$48,0),31),1,0))</f>
        <v>0</v>
      </c>
      <c r="G32" s="32">
        <f>IF(G$31=$E32,0,IF(AND(INDEX(Results!$B$2:$AB$282,MATCH(DummyStandings!G$31&amp;DummyStandings!$E32,Results!$K$2:$K$282,0),11)=DummyStandings!$E32,INDEX(Results!$B$2:$AB$282,MATCH(DummyStandings!$E32&amp;DummyStandings!G$31,Results!$K$2:$K$282,0),11)=DummyStandings!$E32),2,IF(INDEX(Results!$B$2:$AB$282,MATCH(DummyStandings!G$31&amp;DummyStandings!$E32,Results!$K$2:$K$282,0),11)=DummyStandings!$E32,1,IF(INDEX(Results!$B$2:$AB$282,MATCH(DummyStandings!$E32&amp;DummyStandings!G$31,Results!$K$2:$K$282,0),11)=DummyStandings!$E32,1,0))))</f>
        <v>0</v>
      </c>
      <c r="H32" s="33">
        <f>IF(H$31=$E32,0,INDEX(Results!$B$2:$O$282,MATCH(DummyStandings!$E32&amp;DummyStandings!H$31,Results!$K$2:$K$282,0),3)-INDEX(Results!$B$2:$O$282,MATCH(DummyStandings!$E32&amp;DummyStandings!H$31,Results!$K$2:$K$282,0),4))</f>
        <v>0</v>
      </c>
      <c r="I32" s="136">
        <f aca="true" t="shared" si="82" ref="I32:I39">IF($E32=I$31,0,IF($AF32=INDEX($B$5:$BD$48,MATCH(I$31,$E$5:$E$48,0),31),1,0))</f>
        <v>1</v>
      </c>
      <c r="J32" s="32">
        <f>IF(J$31=$E32,0,IF(AND(INDEX(Results!$B$2:$AB$282,MATCH(DummyStandings!J$31&amp;DummyStandings!$E32,Results!$K$2:$K$282,0),11)=DummyStandings!$E32,INDEX(Results!$B$2:$AB$282,MATCH(DummyStandings!$E32&amp;DummyStandings!J$31,Results!$K$2:$K$282,0),11)=DummyStandings!$E32),2,IF(INDEX(Results!$B$2:$AB$282,MATCH(DummyStandings!J$31&amp;DummyStandings!$E32,Results!$K$2:$K$282,0),11)=DummyStandings!$E32,1,IF(INDEX(Results!$B$2:$AB$282,MATCH(DummyStandings!$E32&amp;DummyStandings!J$31,Results!$K$2:$K$282,0),11)=DummyStandings!$E32,1,0))))</f>
        <v>1</v>
      </c>
      <c r="K32" s="33">
        <f>IF(K$31=$E32,0,INDEX(Results!$B$2:$O$282,MATCH(DummyStandings!$E32&amp;DummyStandings!K$31,Results!$K$2:$K$282,0),3)-INDEX(Results!$B$2:$O$282,MATCH(DummyStandings!$E32&amp;DummyStandings!K$31,Results!$K$2:$K$282,0),4))</f>
        <v>13</v>
      </c>
      <c r="L32" s="136">
        <f aca="true" t="shared" si="83" ref="L32:L39">IF($E32=L$31,0,IF($AF32=INDEX($B$5:$BD$48,MATCH(L$31,$E$5:$E$48,0),31),1,0))</f>
        <v>0</v>
      </c>
      <c r="M32" s="32">
        <f>IF(M$31=$E32,0,IF(AND(INDEX(Results!$B$2:$AB$282,MATCH(DummyStandings!M$31&amp;DummyStandings!$E32,Results!$K$2:$K$282,0),11)=DummyStandings!$E32,INDEX(Results!$B$2:$AB$282,MATCH(DummyStandings!$E32&amp;DummyStandings!M$31,Results!$K$2:$K$282,0),11)=DummyStandings!$E32),2,IF(INDEX(Results!$B$2:$AB$282,MATCH(DummyStandings!M$31&amp;DummyStandings!$E32,Results!$K$2:$K$282,0),11)=DummyStandings!$E32,1,IF(INDEX(Results!$B$2:$AB$282,MATCH(DummyStandings!$E32&amp;DummyStandings!M$31,Results!$K$2:$K$282,0),11)=DummyStandings!$E32,1,0))))</f>
        <v>2</v>
      </c>
      <c r="N32" s="33">
        <f>IF(N$31=$E32,0,INDEX(Results!$B$2:$O$282,MATCH(DummyStandings!$E32&amp;DummyStandings!N$31,Results!$K$2:$K$282,0),3)-INDEX(Results!$B$2:$O$282,MATCH(DummyStandings!$E32&amp;DummyStandings!N$31,Results!$K$2:$K$282,0),4))</f>
        <v>6</v>
      </c>
      <c r="O32" s="136">
        <f aca="true" t="shared" si="84" ref="O32:O39">IF($E32=O$31,0,IF($AF32=INDEX($B$5:$BD$48,MATCH(O$31,$E$5:$E$48,0),31),1,0))</f>
        <v>0</v>
      </c>
      <c r="P32" s="32">
        <f>IF(P$31=$E32,0,IF(AND(INDEX(Results!$B$2:$AB$282,MATCH(DummyStandings!P$31&amp;DummyStandings!$E32,Results!$K$2:$K$282,0),11)=DummyStandings!$E32,INDEX(Results!$B$2:$AB$282,MATCH(DummyStandings!$E32&amp;DummyStandings!P$31,Results!$K$2:$K$282,0),11)=DummyStandings!$E32),2,IF(INDEX(Results!$B$2:$AB$282,MATCH(DummyStandings!P$31&amp;DummyStandings!$E32,Results!$K$2:$K$282,0),11)=DummyStandings!$E32,1,IF(INDEX(Results!$B$2:$AB$282,MATCH(DummyStandings!$E32&amp;DummyStandings!P$31,Results!$K$2:$K$282,0),11)=DummyStandings!$E32,1,0))))</f>
        <v>2</v>
      </c>
      <c r="Q32" s="33">
        <f>IF(Q$31=$E32,0,INDEX(Results!$B$2:$O$282,MATCH(DummyStandings!$E32&amp;DummyStandings!Q$31,Results!$K$2:$K$282,0),3)-INDEX(Results!$B$2:$O$282,MATCH(DummyStandings!$E32&amp;DummyStandings!Q$31,Results!$K$2:$K$282,0),4))</f>
        <v>26</v>
      </c>
      <c r="R32" s="136">
        <f aca="true" t="shared" si="85" ref="R32:R39">IF($E32=R$31,0,IF($AF32=INDEX($B$5:$BD$48,MATCH(R$31,$E$5:$E$48,0),31),1,0))</f>
        <v>0</v>
      </c>
      <c r="S32" s="32">
        <f>IF(S$31=$E32,0,IF(AND(INDEX(Results!$B$2:$AB$282,MATCH(DummyStandings!S$31&amp;DummyStandings!$E32,Results!$K$2:$K$282,0),11)=DummyStandings!$E32,INDEX(Results!$B$2:$AB$282,MATCH(DummyStandings!$E32&amp;DummyStandings!S$31,Results!$K$2:$K$282,0),11)=DummyStandings!$E32),2,IF(INDEX(Results!$B$2:$AB$282,MATCH(DummyStandings!S$31&amp;DummyStandings!$E32,Results!$K$2:$K$282,0),11)=DummyStandings!$E32,1,IF(INDEX(Results!$B$2:$AB$282,MATCH(DummyStandings!$E32&amp;DummyStandings!S$31,Results!$K$2:$K$282,0),11)=DummyStandings!$E32,1,0))))</f>
        <v>1</v>
      </c>
      <c r="T32" s="33">
        <f>IF(T$31=$E32,0,INDEX(Results!$B$2:$O$282,MATCH(DummyStandings!$E32&amp;DummyStandings!T$31,Results!$K$2:$K$282,0),3)-INDEX(Results!$B$2:$O$282,MATCH(DummyStandings!$E32&amp;DummyStandings!T$31,Results!$K$2:$K$282,0),4))</f>
        <v>-4</v>
      </c>
      <c r="U32" s="136">
        <f aca="true" t="shared" si="86" ref="U32:U39">IF($E32=U$31,0,IF($AF32=INDEX($B$5:$BD$48,MATCH(U$31,$E$5:$E$48,0),31),1,0))</f>
        <v>0</v>
      </c>
      <c r="V32" s="32">
        <f>IF(V$31=$E32,0,IF(AND(INDEX(Results!$B$2:$AB$282,MATCH(DummyStandings!V$31&amp;DummyStandings!$E32,Results!$K$2:$K$282,0),11)=DummyStandings!$E32,INDEX(Results!$B$2:$AB$282,MATCH(DummyStandings!$E32&amp;DummyStandings!V$31,Results!$K$2:$K$282,0),11)=DummyStandings!$E32),2,IF(INDEX(Results!$B$2:$AB$282,MATCH(DummyStandings!V$31&amp;DummyStandings!$E32,Results!$K$2:$K$282,0),11)=DummyStandings!$E32,1,IF(INDEX(Results!$B$2:$AB$282,MATCH(DummyStandings!$E32&amp;DummyStandings!V$31,Results!$K$2:$K$282,0),11)=DummyStandings!$E32,1,0))))</f>
        <v>0</v>
      </c>
      <c r="W32" s="33">
        <f>IF(W$31=$E32,0,INDEX(Results!$B$2:$O$282,MATCH(DummyStandings!$E32&amp;DummyStandings!W$31,Results!$K$2:$K$282,0),3)-INDEX(Results!$B$2:$O$282,MATCH(DummyStandings!$E32&amp;DummyStandings!W$31,Results!$K$2:$K$282,0),4))</f>
        <v>-14</v>
      </c>
      <c r="X32" s="136">
        <f aca="true" t="shared" si="87" ref="X32:X39">IF($E32=X$31,0,IF($AF32=INDEX($B$5:$BD$48,MATCH(X$31,$E$5:$E$48,0),31),1,0))</f>
        <v>0</v>
      </c>
      <c r="Y32" s="32">
        <f>IF(Y$31=$E32,0,IF(AND(INDEX(Results!$B$2:$AB$282,MATCH(DummyStandings!Y$31&amp;DummyStandings!$E32,Results!$K$2:$K$282,0),11)=DummyStandings!$E32,INDEX(Results!$B$2:$AB$282,MATCH(DummyStandings!$E32&amp;DummyStandings!Y$31,Results!$K$2:$K$282,0),11)=DummyStandings!$E32),2,IF(INDEX(Results!$B$2:$AB$282,MATCH(DummyStandings!Y$31&amp;DummyStandings!$E32,Results!$K$2:$K$282,0),11)=DummyStandings!$E32,1,IF(INDEX(Results!$B$2:$AB$282,MATCH(DummyStandings!$E32&amp;DummyStandings!Y$31,Results!$K$2:$K$282,0),11)=DummyStandings!$E32,1,0))))</f>
        <v>1</v>
      </c>
      <c r="Z32" s="33">
        <f>IF(Z$31=$E32,0,INDEX(Results!$B$2:$O$282,MATCH(DummyStandings!$E32&amp;DummyStandings!Z$31,Results!$K$2:$K$282,0),3)-INDEX(Results!$B$2:$O$282,MATCH(DummyStandings!$E32&amp;DummyStandings!Z$31,Results!$K$2:$K$282,0),4))</f>
        <v>23</v>
      </c>
      <c r="AA32" s="136">
        <f aca="true" t="shared" si="88" ref="AA32:AA39">IF($E32=AA$31,0,IF($AF32=INDEX($B$5:$BD$48,MATCH(AA$31,$E$5:$E$48,0),31),1,0))</f>
        <v>0</v>
      </c>
      <c r="AB32" s="32">
        <f>IF(AB$31=$E32,0,IF(AND(INDEX(Results!$B$2:$AB$282,MATCH(DummyStandings!AB$31&amp;DummyStandings!$E32,Results!$K$2:$K$282,0),11)=DummyStandings!$E32,INDEX(Results!$B$2:$AB$282,MATCH(DummyStandings!$E32&amp;DummyStandings!AB$31,Results!$K$2:$K$282,0),11)=DummyStandings!$E32),2,IF(INDEX(Results!$B$2:$AB$282,MATCH(DummyStandings!AB$31&amp;DummyStandings!$E32,Results!$K$2:$K$282,0),11)=DummyStandings!$E32,1,IF(INDEX(Results!$B$2:$AB$282,MATCH(DummyStandings!$E32&amp;DummyStandings!AB$31,Results!$K$2:$K$282,0),11)=DummyStandings!$E32,1,0))))</f>
        <v>0</v>
      </c>
      <c r="AC32" s="33">
        <f>IF(AC$31=$E32,0,INDEX(Results!$B$2:$O$282,MATCH(DummyStandings!$E32&amp;DummyStandings!AC$31,Results!$K$2:$K$282,0),3)-INDEX(Results!$B$2:$O$282,MATCH(DummyStandings!$E32&amp;DummyStandings!AC$31,Results!$K$2:$K$282,0),4))</f>
        <v>-24</v>
      </c>
      <c r="AD32" s="131">
        <f>($F32*G32)+($I32*J32)+($L32*M32)+($O32*P32)+($R32*S32)+($U32*V32)+($X32*Y32)</f>
        <v>1</v>
      </c>
      <c r="AE32" s="136">
        <f>($F32*H32)+($I32*K32)+($L32*N32)+($O32*Q32)+($R32*T32)+($U32*W32)+($X32*Z32)</f>
        <v>13</v>
      </c>
      <c r="AF32" s="136">
        <f aca="true" t="shared" si="89" ref="AF32:AF39">RANK($AN32,$AN$5:$AN$48)</f>
        <v>16</v>
      </c>
      <c r="AG32" s="132">
        <f t="shared" si="19"/>
        <v>0</v>
      </c>
      <c r="AH32" s="32">
        <f aca="true" t="shared" si="90" ref="AH32:AH39">SUMPRODUCT(($AF32=$AF$5:$AF$48)*($AD32=$AD$5:$AD$48)*($AE32&lt;$AE$5:$AE$48))</f>
        <v>0</v>
      </c>
      <c r="AI32" s="136">
        <f aca="true" t="shared" si="91" ref="AI32:AI39">SUMPRODUCT(($AF$5:$AF$48=$AF32)*($AG$5:$AG$48=$AG32)*($AH$5:$AH$48=$AH32)*($AR$5:$AR$48&gt;$AR32))</f>
        <v>0</v>
      </c>
      <c r="AJ32" s="136">
        <f aca="true" t="shared" si="92" ref="AJ32:AJ39">SUMPRODUCT(($AF$5:$AF$48=$AF32)*($AG$5:$AG$48=$AG32)*($AH$5:$AH$48=$AH32)*($AI$5:$AI$48=$AI32)*($AP$5:$AP$48&gt;$AP32))</f>
        <v>0</v>
      </c>
      <c r="AK32" s="136">
        <f aca="true" t="shared" si="93" ref="AK32:AK39">SUMPRODUCT(($AF$5:$AF$48=$AF32)*($AG$5:$AG$48=$AG32)*($AH$5:$AH$48=$AH32)*($AI$5:$AI$48=$AI32)*($AJ$5:$AJ$48=$AJ32)*($BB$5:$BB$48&gt;$BB32))</f>
        <v>0</v>
      </c>
      <c r="AL32" s="131">
        <f t="shared" si="20"/>
        <v>0</v>
      </c>
      <c r="AM32" s="32">
        <f t="shared" si="21"/>
        <v>14</v>
      </c>
      <c r="AN32" s="32">
        <f t="shared" si="22"/>
        <v>7</v>
      </c>
      <c r="AO32" s="32">
        <f t="shared" si="23"/>
        <v>7</v>
      </c>
      <c r="AP32" s="32">
        <f t="shared" si="24"/>
        <v>213</v>
      </c>
      <c r="AQ32" s="32">
        <f t="shared" si="25"/>
        <v>201</v>
      </c>
      <c r="AR32" s="32">
        <f t="shared" si="26"/>
        <v>12</v>
      </c>
      <c r="AS32" s="136">
        <f t="shared" si="27"/>
        <v>7</v>
      </c>
      <c r="AT32" s="32">
        <f>SUMPRODUCT((Results!$C$3:$C$282=DummyStandings!$C32)*(Results!$D$3:$D$282&gt;Results!$E$3:$E$282))</f>
        <v>4</v>
      </c>
      <c r="AU32" s="32">
        <f>SUMPRODUCT((Results!$C$3:$C$282=DummyStandings!$C32)*(Results!$D$3:$D$282&lt;Results!$E$3:$E$282))</f>
        <v>3</v>
      </c>
      <c r="AV32" s="32">
        <f>SUMIF(Results!$C$3:$C$282,$C32,Results!$D$3:$D$282)</f>
        <v>107</v>
      </c>
      <c r="AW32" s="32">
        <f>SUMIF(Results!$C$3:$C$282,$C32,Results!$E$3:$E$282)</f>
        <v>81</v>
      </c>
      <c r="AX32" s="32">
        <f t="shared" si="28"/>
        <v>26</v>
      </c>
      <c r="AY32" s="137">
        <f t="shared" si="29"/>
        <v>7</v>
      </c>
      <c r="AZ32" s="34">
        <f>SUMPRODUCT((Results!$F$3:$F$282=DummyStandings!$C32)*(Results!$E$3:$E$282&gt;Results!$D$3:$D$282))</f>
        <v>3</v>
      </c>
      <c r="BA32" s="34">
        <f>SUMPRODUCT((Results!$F$3:$F$282=DummyStandings!$C32)*(Results!$E$3:$E$282&lt;Results!$D$3:$D$282))</f>
        <v>4</v>
      </c>
      <c r="BB32" s="34">
        <f>SUMIF(Results!$F$3:$F$282,$C32,Results!$E$3:$E$282)</f>
        <v>106</v>
      </c>
      <c r="BC32" s="34">
        <f>SUMIF(Results!$F$3:$F$282,$C32,Results!$D$3:$D$282)</f>
        <v>120</v>
      </c>
      <c r="BD32" s="35">
        <f t="shared" si="30"/>
        <v>-14</v>
      </c>
      <c r="BE32" s="32">
        <f>INDEX(Teams!$B$5:$H$45,MATCH(DummyStandings!E32,Teams!$G$5:$G$45,0),7)</f>
        <v>17</v>
      </c>
      <c r="BF32" s="272">
        <f t="shared" si="40"/>
        <v>0.4714285714285714</v>
      </c>
      <c r="BG32" s="275">
        <f t="shared" si="31"/>
        <v>0.33571428571428574</v>
      </c>
      <c r="BH32" s="275">
        <f t="shared" si="41"/>
        <v>0.4261904761904762</v>
      </c>
      <c r="BI32" s="34">
        <v>1</v>
      </c>
      <c r="BJ32" s="132">
        <f t="shared" si="32"/>
        <v>19</v>
      </c>
      <c r="BK32" s="35">
        <f t="shared" si="33"/>
        <v>0</v>
      </c>
      <c r="BL32" s="35">
        <f t="shared" si="34"/>
        <v>0</v>
      </c>
      <c r="BM32" s="35">
        <f t="shared" si="35"/>
        <v>0</v>
      </c>
      <c r="BN32" s="35">
        <f t="shared" si="36"/>
        <v>0</v>
      </c>
      <c r="BO32" s="35">
        <f t="shared" si="37"/>
        <v>0</v>
      </c>
      <c r="BP32" s="137">
        <f t="shared" si="38"/>
        <v>0</v>
      </c>
      <c r="BQ32" s="131">
        <f aca="true" t="shared" si="94" ref="BQ32:BQ39">SUM(BI32:BP32)</f>
        <v>20</v>
      </c>
      <c r="BR32" s="136">
        <f aca="true" t="shared" si="95" ref="BR32:BR39">B32-BQ32</f>
        <v>-4</v>
      </c>
      <c r="BS32" s="132">
        <f aca="true" t="shared" si="96" ref="BS32:BS39">SUMPRODUCT(($AF$5:$AF$48=$AF32)*($AR$5:$AR$48&gt;$AR32))</f>
        <v>2</v>
      </c>
      <c r="BT32" s="35">
        <f t="shared" si="39"/>
        <v>18</v>
      </c>
    </row>
    <row r="33" spans="2:72" ht="12.75">
      <c r="B33" s="132">
        <f aca="true" t="shared" si="97" ref="B33:B39">SUM(AF33:AL33)</f>
        <v>17</v>
      </c>
      <c r="C33" s="161" t="str">
        <f>Teams!B31</f>
        <v>Fair Haven State University</v>
      </c>
      <c r="D33" s="137" t="str">
        <f>INDEX(Teams!$B$5:$F$45,MATCH(DummyStandings!$C33,Teams!$B$5:$B$45,0),COLUMN()+1)</f>
        <v>Sequoia</v>
      </c>
      <c r="E33" s="165" t="str">
        <f>INDEX(Teams!$B$5:$H$45,MATCH(DummyStandings!$C33,Teams!$B$5:$B$45,0),6)</f>
        <v>FHST</v>
      </c>
      <c r="F33" s="137">
        <f t="shared" si="81"/>
        <v>1</v>
      </c>
      <c r="G33" s="34">
        <f>IF(G$31=$E33,0,IF(AND(INDEX(Results!$B$2:$AB$282,MATCH(DummyStandings!G$31&amp;DummyStandings!$E33,Results!$K$2:$K$282,0),11)=DummyStandings!$E33,INDEX(Results!$B$2:$AB$282,MATCH(DummyStandings!$E33&amp;DummyStandings!G$31,Results!$K$2:$K$282,0),11)=DummyStandings!$E33),2,IF(INDEX(Results!$B$2:$AB$282,MATCH(DummyStandings!G$31&amp;DummyStandings!$E33,Results!$K$2:$K$282,0),11)=DummyStandings!$E33,1,IF(INDEX(Results!$B$2:$AB$282,MATCH(DummyStandings!$E33&amp;DummyStandings!G$31,Results!$K$2:$K$282,0),11)=DummyStandings!$E33,1,0))))</f>
        <v>1</v>
      </c>
      <c r="H33" s="35">
        <f>IF(H$31=$E33,0,INDEX(Results!$B$2:$O$282,MATCH(DummyStandings!$E33&amp;DummyStandings!H$31,Results!$K$2:$K$282,0),3)-INDEX(Results!$B$2:$O$282,MATCH(DummyStandings!$E33&amp;DummyStandings!H$31,Results!$K$2:$K$282,0),4))</f>
        <v>9</v>
      </c>
      <c r="I33" s="137">
        <f t="shared" si="82"/>
        <v>0</v>
      </c>
      <c r="J33" s="34">
        <f>IF(J$31=$E33,0,IF(AND(INDEX(Results!$B$2:$AB$282,MATCH(DummyStandings!J$31&amp;DummyStandings!$E33,Results!$K$2:$K$282,0),11)=DummyStandings!$E33,INDEX(Results!$B$2:$AB$282,MATCH(DummyStandings!$E33&amp;DummyStandings!J$31,Results!$K$2:$K$282,0),11)=DummyStandings!$E33),2,IF(INDEX(Results!$B$2:$AB$282,MATCH(DummyStandings!J$31&amp;DummyStandings!$E33,Results!$K$2:$K$282,0),11)=DummyStandings!$E33,1,IF(INDEX(Results!$B$2:$AB$282,MATCH(DummyStandings!$E33&amp;DummyStandings!J$31,Results!$K$2:$K$282,0),11)=DummyStandings!$E33,1,0))))</f>
        <v>0</v>
      </c>
      <c r="K33" s="35">
        <f>IF(K$31=$E33,0,INDEX(Results!$B$2:$O$282,MATCH(DummyStandings!$E33&amp;DummyStandings!K$31,Results!$K$2:$K$282,0),3)-INDEX(Results!$B$2:$O$282,MATCH(DummyStandings!$E33&amp;DummyStandings!K$31,Results!$K$2:$K$282,0),4))</f>
        <v>0</v>
      </c>
      <c r="L33" s="137">
        <f t="shared" si="83"/>
        <v>0</v>
      </c>
      <c r="M33" s="34">
        <f>IF(M$31=$E33,0,IF(AND(INDEX(Results!$B$2:$AB$282,MATCH(DummyStandings!M$31&amp;DummyStandings!$E33,Results!$K$2:$K$282,0),11)=DummyStandings!$E33,INDEX(Results!$B$2:$AB$282,MATCH(DummyStandings!$E33&amp;DummyStandings!M$31,Results!$K$2:$K$282,0),11)=DummyStandings!$E33),2,IF(INDEX(Results!$B$2:$AB$282,MATCH(DummyStandings!M$31&amp;DummyStandings!$E33,Results!$K$2:$K$282,0),11)=DummyStandings!$E33,1,IF(INDEX(Results!$B$2:$AB$282,MATCH(DummyStandings!$E33&amp;DummyStandings!M$31,Results!$K$2:$K$282,0),11)=DummyStandings!$E33,1,0))))</f>
        <v>2</v>
      </c>
      <c r="N33" s="35">
        <f>IF(N$31=$E33,0,INDEX(Results!$B$2:$O$282,MATCH(DummyStandings!$E33&amp;DummyStandings!N$31,Results!$K$2:$K$282,0),3)-INDEX(Results!$B$2:$O$282,MATCH(DummyStandings!$E33&amp;DummyStandings!N$31,Results!$K$2:$K$282,0),4))</f>
        <v>11</v>
      </c>
      <c r="O33" s="137">
        <f t="shared" si="84"/>
        <v>0</v>
      </c>
      <c r="P33" s="34">
        <f>IF(P$31=$E33,0,IF(AND(INDEX(Results!$B$2:$AB$282,MATCH(DummyStandings!P$31&amp;DummyStandings!$E33,Results!$K$2:$K$282,0),11)=DummyStandings!$E33,INDEX(Results!$B$2:$AB$282,MATCH(DummyStandings!$E33&amp;DummyStandings!P$31,Results!$K$2:$K$282,0),11)=DummyStandings!$E33),2,IF(INDEX(Results!$B$2:$AB$282,MATCH(DummyStandings!P$31&amp;DummyStandings!$E33,Results!$K$2:$K$282,0),11)=DummyStandings!$E33,1,IF(INDEX(Results!$B$2:$AB$282,MATCH(DummyStandings!$E33&amp;DummyStandings!P$31,Results!$K$2:$K$282,0),11)=DummyStandings!$E33,1,0))))</f>
        <v>2</v>
      </c>
      <c r="Q33" s="35">
        <f>IF(Q$31=$E33,0,INDEX(Results!$B$2:$O$282,MATCH(DummyStandings!$E33&amp;DummyStandings!Q$31,Results!$K$2:$K$282,0),3)-INDEX(Results!$B$2:$O$282,MATCH(DummyStandings!$E33&amp;DummyStandings!Q$31,Results!$K$2:$K$282,0),4))</f>
        <v>3</v>
      </c>
      <c r="R33" s="137">
        <f t="shared" si="85"/>
        <v>0</v>
      </c>
      <c r="S33" s="34">
        <f>IF(S$31=$E33,0,IF(AND(INDEX(Results!$B$2:$AB$282,MATCH(DummyStandings!S$31&amp;DummyStandings!$E33,Results!$K$2:$K$282,0),11)=DummyStandings!$E33,INDEX(Results!$B$2:$AB$282,MATCH(DummyStandings!$E33&amp;DummyStandings!S$31,Results!$K$2:$K$282,0),11)=DummyStandings!$E33),2,IF(INDEX(Results!$B$2:$AB$282,MATCH(DummyStandings!S$31&amp;DummyStandings!$E33,Results!$K$2:$K$282,0),11)=DummyStandings!$E33,1,IF(INDEX(Results!$B$2:$AB$282,MATCH(DummyStandings!$E33&amp;DummyStandings!S$31,Results!$K$2:$K$282,0),11)=DummyStandings!$E33,1,0))))</f>
        <v>0</v>
      </c>
      <c r="T33" s="35">
        <f>IF(T$31=$E33,0,INDEX(Results!$B$2:$O$282,MATCH(DummyStandings!$E33&amp;DummyStandings!T$31,Results!$K$2:$K$282,0),3)-INDEX(Results!$B$2:$O$282,MATCH(DummyStandings!$E33&amp;DummyStandings!T$31,Results!$K$2:$K$282,0),4))</f>
        <v>-10</v>
      </c>
      <c r="U33" s="137">
        <f t="shared" si="86"/>
        <v>0</v>
      </c>
      <c r="V33" s="34">
        <f>IF(V$31=$E33,0,IF(AND(INDEX(Results!$B$2:$AB$282,MATCH(DummyStandings!V$31&amp;DummyStandings!$E33,Results!$K$2:$K$282,0),11)=DummyStandings!$E33,INDEX(Results!$B$2:$AB$282,MATCH(DummyStandings!$E33&amp;DummyStandings!V$31,Results!$K$2:$K$282,0),11)=DummyStandings!$E33),2,IF(INDEX(Results!$B$2:$AB$282,MATCH(DummyStandings!V$31&amp;DummyStandings!$E33,Results!$K$2:$K$282,0),11)=DummyStandings!$E33,1,IF(INDEX(Results!$B$2:$AB$282,MATCH(DummyStandings!$E33&amp;DummyStandings!V$31,Results!$K$2:$K$282,0),11)=DummyStandings!$E33,1,0))))</f>
        <v>0</v>
      </c>
      <c r="W33" s="35">
        <f>IF(W$31=$E33,0,INDEX(Results!$B$2:$O$282,MATCH(DummyStandings!$E33&amp;DummyStandings!W$31,Results!$K$2:$K$282,0),3)-INDEX(Results!$B$2:$O$282,MATCH(DummyStandings!$E33&amp;DummyStandings!W$31,Results!$K$2:$K$282,0),4))</f>
        <v>-24</v>
      </c>
      <c r="X33" s="137">
        <f t="shared" si="87"/>
        <v>0</v>
      </c>
      <c r="Y33" s="34">
        <f>IF(Y$31=$E33,0,IF(AND(INDEX(Results!$B$2:$AB$282,MATCH(DummyStandings!Y$31&amp;DummyStandings!$E33,Results!$K$2:$K$282,0),11)=DummyStandings!$E33,INDEX(Results!$B$2:$AB$282,MATCH(DummyStandings!$E33&amp;DummyStandings!Y$31,Results!$K$2:$K$282,0),11)=DummyStandings!$E33),2,IF(INDEX(Results!$B$2:$AB$282,MATCH(DummyStandings!Y$31&amp;DummyStandings!$E33,Results!$K$2:$K$282,0),11)=DummyStandings!$E33,1,IF(INDEX(Results!$B$2:$AB$282,MATCH(DummyStandings!$E33&amp;DummyStandings!Y$31,Results!$K$2:$K$282,0),11)=DummyStandings!$E33,1,0))))</f>
        <v>2</v>
      </c>
      <c r="Z33" s="35">
        <f>IF(Z$31=$E33,0,INDEX(Results!$B$2:$O$282,MATCH(DummyStandings!$E33&amp;DummyStandings!Z$31,Results!$K$2:$K$282,0),3)-INDEX(Results!$B$2:$O$282,MATCH(DummyStandings!$E33&amp;DummyStandings!Z$31,Results!$K$2:$K$282,0),4))</f>
        <v>40</v>
      </c>
      <c r="AA33" s="137">
        <f t="shared" si="88"/>
        <v>0</v>
      </c>
      <c r="AB33" s="34">
        <f>IF(AB$31=$E33,0,IF(AND(INDEX(Results!$B$2:$AB$282,MATCH(DummyStandings!AB$31&amp;DummyStandings!$E33,Results!$K$2:$K$282,0),11)=DummyStandings!$E33,INDEX(Results!$B$2:$AB$282,MATCH(DummyStandings!$E33&amp;DummyStandings!AB$31,Results!$K$2:$K$282,0),11)=DummyStandings!$E33),2,IF(INDEX(Results!$B$2:$AB$282,MATCH(DummyStandings!AB$31&amp;DummyStandings!$E33,Results!$K$2:$K$282,0),11)=DummyStandings!$E33,1,IF(INDEX(Results!$B$2:$AB$282,MATCH(DummyStandings!$E33&amp;DummyStandings!AB$31,Results!$K$2:$K$282,0),11)=DummyStandings!$E33,1,0))))</f>
        <v>0</v>
      </c>
      <c r="AC33" s="35">
        <f>IF(AC$31=$E33,0,INDEX(Results!$B$2:$O$282,MATCH(DummyStandings!$E33&amp;DummyStandings!AC$31,Results!$K$2:$K$282,0),3)-INDEX(Results!$B$2:$O$282,MATCH(DummyStandings!$E33&amp;DummyStandings!AC$31,Results!$K$2:$K$282,0),4))</f>
        <v>-7</v>
      </c>
      <c r="AD33" s="132">
        <f aca="true" t="shared" si="98" ref="AD33:AE38">($F33*G33)+($I33*J33)+($L33*M33)+($O33*P33)+($R33*S33)+($U33*V33)+($X33*Y33)</f>
        <v>1</v>
      </c>
      <c r="AE33" s="137">
        <f t="shared" si="98"/>
        <v>9</v>
      </c>
      <c r="AF33" s="137">
        <f t="shared" si="89"/>
        <v>16</v>
      </c>
      <c r="AG33" s="132">
        <f t="shared" si="19"/>
        <v>0</v>
      </c>
      <c r="AH33" s="34">
        <f t="shared" si="90"/>
        <v>1</v>
      </c>
      <c r="AI33" s="137">
        <f t="shared" si="91"/>
        <v>0</v>
      </c>
      <c r="AJ33" s="137">
        <f t="shared" si="92"/>
        <v>0</v>
      </c>
      <c r="AK33" s="137">
        <f t="shared" si="93"/>
        <v>0</v>
      </c>
      <c r="AL33" s="132">
        <f t="shared" si="20"/>
        <v>0</v>
      </c>
      <c r="AM33" s="34">
        <f t="shared" si="21"/>
        <v>14</v>
      </c>
      <c r="AN33" s="34">
        <f t="shared" si="22"/>
        <v>7</v>
      </c>
      <c r="AO33" s="34">
        <f t="shared" si="23"/>
        <v>7</v>
      </c>
      <c r="AP33" s="34">
        <f t="shared" si="24"/>
        <v>293</v>
      </c>
      <c r="AQ33" s="34">
        <f t="shared" si="25"/>
        <v>262</v>
      </c>
      <c r="AR33" s="34">
        <f t="shared" si="26"/>
        <v>31</v>
      </c>
      <c r="AS33" s="137">
        <f t="shared" si="27"/>
        <v>7</v>
      </c>
      <c r="AT33" s="34">
        <f>SUMPRODUCT((Results!$C$3:$C$282=DummyStandings!$C33)*(Results!$D$3:$D$282&gt;Results!$E$3:$E$282))</f>
        <v>4</v>
      </c>
      <c r="AU33" s="34">
        <f>SUMPRODUCT((Results!$C$3:$C$282=DummyStandings!$C33)*(Results!$D$3:$D$282&lt;Results!$E$3:$E$282))</f>
        <v>3</v>
      </c>
      <c r="AV33" s="34">
        <f>SUMIF(Results!$C$3:$C$282,$C33,Results!$D$3:$D$282)</f>
        <v>161</v>
      </c>
      <c r="AW33" s="34">
        <f>SUMIF(Results!$C$3:$C$282,$C33,Results!$E$3:$E$282)</f>
        <v>139</v>
      </c>
      <c r="AX33" s="34">
        <f t="shared" si="28"/>
        <v>22</v>
      </c>
      <c r="AY33" s="137">
        <f t="shared" si="29"/>
        <v>7</v>
      </c>
      <c r="AZ33" s="34">
        <f>SUMPRODUCT((Results!$F$3:$F$282=DummyStandings!$C33)*(Results!$E$3:$E$282&gt;Results!$D$3:$D$282))</f>
        <v>3</v>
      </c>
      <c r="BA33" s="34">
        <f>SUMPRODUCT((Results!$F$3:$F$282=DummyStandings!$C33)*(Results!$E$3:$E$282&lt;Results!$D$3:$D$282))</f>
        <v>4</v>
      </c>
      <c r="BB33" s="34">
        <f>SUMIF(Results!$F$3:$F$282,$C33,Results!$E$3:$E$282)</f>
        <v>132</v>
      </c>
      <c r="BC33" s="34">
        <f>SUMIF(Results!$F$3:$F$282,$C33,Results!$D$3:$D$282)</f>
        <v>123</v>
      </c>
      <c r="BD33" s="35">
        <f t="shared" si="30"/>
        <v>9</v>
      </c>
      <c r="BE33" s="34">
        <f>INDEX(Teams!$B$5:$H$45,MATCH(DummyStandings!E33,Teams!$G$5:$G$45,0),7)</f>
        <v>13</v>
      </c>
      <c r="BF33" s="272">
        <f t="shared" si="40"/>
        <v>0.4714285714285714</v>
      </c>
      <c r="BG33" s="275">
        <f t="shared" si="31"/>
        <v>0.33571428571428574</v>
      </c>
      <c r="BH33" s="275">
        <f t="shared" si="41"/>
        <v>0.4261904761904762</v>
      </c>
      <c r="BI33" s="34">
        <v>1</v>
      </c>
      <c r="BJ33" s="132">
        <f t="shared" si="32"/>
        <v>19</v>
      </c>
      <c r="BK33" s="35">
        <f t="shared" si="33"/>
        <v>0</v>
      </c>
      <c r="BL33" s="35">
        <f t="shared" si="34"/>
        <v>1</v>
      </c>
      <c r="BM33" s="35">
        <f t="shared" si="35"/>
        <v>0</v>
      </c>
      <c r="BN33" s="35">
        <f t="shared" si="36"/>
        <v>0</v>
      </c>
      <c r="BO33" s="35">
        <f t="shared" si="37"/>
        <v>0</v>
      </c>
      <c r="BP33" s="137">
        <f t="shared" si="38"/>
        <v>0</v>
      </c>
      <c r="BQ33" s="132">
        <f t="shared" si="94"/>
        <v>21</v>
      </c>
      <c r="BR33" s="137">
        <f t="shared" si="95"/>
        <v>-4</v>
      </c>
      <c r="BS33" s="132">
        <f t="shared" si="96"/>
        <v>1</v>
      </c>
      <c r="BT33" s="35">
        <f t="shared" si="39"/>
        <v>17</v>
      </c>
    </row>
    <row r="34" spans="2:72" ht="12.75">
      <c r="B34" s="132">
        <f t="shared" si="97"/>
        <v>37</v>
      </c>
      <c r="C34" s="161" t="str">
        <f>Teams!B32</f>
        <v>Netteingen Tech</v>
      </c>
      <c r="D34" s="137" t="str">
        <f>INDEX(Teams!$B$5:$F$45,MATCH(DummyStandings!$C34,Teams!$B$5:$B$45,0),COLUMN()+1)</f>
        <v>Sequoia</v>
      </c>
      <c r="E34" s="165" t="str">
        <f>INDEX(Teams!$B$5:$H$45,MATCH(DummyStandings!$C34,Teams!$B$5:$B$45,0),6)</f>
        <v>NETT</v>
      </c>
      <c r="F34" s="137">
        <f t="shared" si="81"/>
        <v>0</v>
      </c>
      <c r="G34" s="34">
        <f>IF(G$31=$E34,0,IF(AND(INDEX(Results!$B$2:$AB$282,MATCH(DummyStandings!G$31&amp;DummyStandings!$E34,Results!$K$2:$K$282,0),11)=DummyStandings!$E34,INDEX(Results!$B$2:$AB$282,MATCH(DummyStandings!$E34&amp;DummyStandings!G$31,Results!$K$2:$K$282,0),11)=DummyStandings!$E34),2,IF(INDEX(Results!$B$2:$AB$282,MATCH(DummyStandings!G$31&amp;DummyStandings!$E34,Results!$K$2:$K$282,0),11)=DummyStandings!$E34,1,IF(INDEX(Results!$B$2:$AB$282,MATCH(DummyStandings!$E34&amp;DummyStandings!G$31,Results!$K$2:$K$282,0),11)=DummyStandings!$E34,1,0))))</f>
        <v>0</v>
      </c>
      <c r="H34" s="35">
        <f>IF(H$31=$E34,0,INDEX(Results!$B$2:$O$282,MATCH(DummyStandings!$E34&amp;DummyStandings!H$31,Results!$K$2:$K$282,0),3)-INDEX(Results!$B$2:$O$282,MATCH(DummyStandings!$E34&amp;DummyStandings!H$31,Results!$K$2:$K$282,0),4))</f>
        <v>-8</v>
      </c>
      <c r="I34" s="137">
        <f t="shared" si="82"/>
        <v>0</v>
      </c>
      <c r="J34" s="34">
        <f>IF(J$31=$E34,0,IF(AND(INDEX(Results!$B$2:$AB$282,MATCH(DummyStandings!J$31&amp;DummyStandings!$E34,Results!$K$2:$K$282,0),11)=DummyStandings!$E34,INDEX(Results!$B$2:$AB$282,MATCH(DummyStandings!$E34&amp;DummyStandings!J$31,Results!$K$2:$K$282,0),11)=DummyStandings!$E34),2,IF(INDEX(Results!$B$2:$AB$282,MATCH(DummyStandings!J$31&amp;DummyStandings!$E34,Results!$K$2:$K$282,0),11)=DummyStandings!$E34,1,IF(INDEX(Results!$B$2:$AB$282,MATCH(DummyStandings!$E34&amp;DummyStandings!J$31,Results!$K$2:$K$282,0),11)=DummyStandings!$E34,1,0))))</f>
        <v>0</v>
      </c>
      <c r="K34" s="35">
        <f>IF(K$31=$E34,0,INDEX(Results!$B$2:$O$282,MATCH(DummyStandings!$E34&amp;DummyStandings!K$31,Results!$K$2:$K$282,0),3)-INDEX(Results!$B$2:$O$282,MATCH(DummyStandings!$E34&amp;DummyStandings!K$31,Results!$K$2:$K$282,0),4))</f>
        <v>-20</v>
      </c>
      <c r="L34" s="137">
        <f t="shared" si="83"/>
        <v>0</v>
      </c>
      <c r="M34" s="34">
        <f>IF(M$31=$E34,0,IF(AND(INDEX(Results!$B$2:$AB$282,MATCH(DummyStandings!M$31&amp;DummyStandings!$E34,Results!$K$2:$K$282,0),11)=DummyStandings!$E34,INDEX(Results!$B$2:$AB$282,MATCH(DummyStandings!$E34&amp;DummyStandings!M$31,Results!$K$2:$K$282,0),11)=DummyStandings!$E34),2,IF(INDEX(Results!$B$2:$AB$282,MATCH(DummyStandings!M$31&amp;DummyStandings!$E34,Results!$K$2:$K$282,0),11)=DummyStandings!$E34,1,IF(INDEX(Results!$B$2:$AB$282,MATCH(DummyStandings!$E34&amp;DummyStandings!M$31,Results!$K$2:$K$282,0),11)=DummyStandings!$E34,1,0))))</f>
        <v>0</v>
      </c>
      <c r="N34" s="35">
        <f>IF(N$31=$E34,0,INDEX(Results!$B$2:$O$282,MATCH(DummyStandings!$E34&amp;DummyStandings!N$31,Results!$K$2:$K$282,0),3)-INDEX(Results!$B$2:$O$282,MATCH(DummyStandings!$E34&amp;DummyStandings!N$31,Results!$K$2:$K$282,0),4))</f>
        <v>0</v>
      </c>
      <c r="O34" s="137">
        <f t="shared" si="84"/>
        <v>1</v>
      </c>
      <c r="P34" s="34">
        <f>IF(P$31=$E34,0,IF(AND(INDEX(Results!$B$2:$AB$282,MATCH(DummyStandings!P$31&amp;DummyStandings!$E34,Results!$K$2:$K$282,0),11)=DummyStandings!$E34,INDEX(Results!$B$2:$AB$282,MATCH(DummyStandings!$E34&amp;DummyStandings!P$31,Results!$K$2:$K$282,0),11)=DummyStandings!$E34),2,IF(INDEX(Results!$B$2:$AB$282,MATCH(DummyStandings!P$31&amp;DummyStandings!$E34,Results!$K$2:$K$282,0),11)=DummyStandings!$E34,1,IF(INDEX(Results!$B$2:$AB$282,MATCH(DummyStandings!$E34&amp;DummyStandings!P$31,Results!$K$2:$K$282,0),11)=DummyStandings!$E34,1,0))))</f>
        <v>0</v>
      </c>
      <c r="Q34" s="35">
        <f>IF(Q$31=$E34,0,INDEX(Results!$B$2:$O$282,MATCH(DummyStandings!$E34&amp;DummyStandings!Q$31,Results!$K$2:$K$282,0),3)-INDEX(Results!$B$2:$O$282,MATCH(DummyStandings!$E34&amp;DummyStandings!Q$31,Results!$K$2:$K$282,0),4))</f>
        <v>-30</v>
      </c>
      <c r="R34" s="137">
        <f t="shared" si="85"/>
        <v>0</v>
      </c>
      <c r="S34" s="34">
        <f>IF(S$31=$E34,0,IF(AND(INDEX(Results!$B$2:$AB$282,MATCH(DummyStandings!S$31&amp;DummyStandings!$E34,Results!$K$2:$K$282,0),11)=DummyStandings!$E34,INDEX(Results!$B$2:$AB$282,MATCH(DummyStandings!$E34&amp;DummyStandings!S$31,Results!$K$2:$K$282,0),11)=DummyStandings!$E34),2,IF(INDEX(Results!$B$2:$AB$282,MATCH(DummyStandings!S$31&amp;DummyStandings!$E34,Results!$K$2:$K$282,0),11)=DummyStandings!$E34,1,IF(INDEX(Results!$B$2:$AB$282,MATCH(DummyStandings!$E34&amp;DummyStandings!S$31,Results!$K$2:$K$282,0),11)=DummyStandings!$E34,1,0))))</f>
        <v>0</v>
      </c>
      <c r="T34" s="35">
        <f>IF(T$31=$E34,0,INDEX(Results!$B$2:$O$282,MATCH(DummyStandings!$E34&amp;DummyStandings!T$31,Results!$K$2:$K$282,0),3)-INDEX(Results!$B$2:$O$282,MATCH(DummyStandings!$E34&amp;DummyStandings!T$31,Results!$K$2:$K$282,0),4))</f>
        <v>-18</v>
      </c>
      <c r="U34" s="137">
        <f t="shared" si="86"/>
        <v>0</v>
      </c>
      <c r="V34" s="34">
        <f>IF(V$31=$E34,0,IF(AND(INDEX(Results!$B$2:$AB$282,MATCH(DummyStandings!V$31&amp;DummyStandings!$E34,Results!$K$2:$K$282,0),11)=DummyStandings!$E34,INDEX(Results!$B$2:$AB$282,MATCH(DummyStandings!$E34&amp;DummyStandings!V$31,Results!$K$2:$K$282,0),11)=DummyStandings!$E34),2,IF(INDEX(Results!$B$2:$AB$282,MATCH(DummyStandings!V$31&amp;DummyStandings!$E34,Results!$K$2:$K$282,0),11)=DummyStandings!$E34,1,IF(INDEX(Results!$B$2:$AB$282,MATCH(DummyStandings!$E34&amp;DummyStandings!V$31,Results!$K$2:$K$282,0),11)=DummyStandings!$E34,1,0))))</f>
        <v>1</v>
      </c>
      <c r="W34" s="35">
        <f>IF(W$31=$E34,0,INDEX(Results!$B$2:$O$282,MATCH(DummyStandings!$E34&amp;DummyStandings!W$31,Results!$K$2:$K$282,0),3)-INDEX(Results!$B$2:$O$282,MATCH(DummyStandings!$E34&amp;DummyStandings!W$31,Results!$K$2:$K$282,0),4))</f>
        <v>-27</v>
      </c>
      <c r="X34" s="137">
        <f t="shared" si="87"/>
        <v>0</v>
      </c>
      <c r="Y34" s="34">
        <f>IF(Y$31=$E34,0,IF(AND(INDEX(Results!$B$2:$AB$282,MATCH(DummyStandings!Y$31&amp;DummyStandings!$E34,Results!$K$2:$K$282,0),11)=DummyStandings!$E34,INDEX(Results!$B$2:$AB$282,MATCH(DummyStandings!$E34&amp;DummyStandings!Y$31,Results!$K$2:$K$282,0),11)=DummyStandings!$E34),2,IF(INDEX(Results!$B$2:$AB$282,MATCH(DummyStandings!Y$31&amp;DummyStandings!$E34,Results!$K$2:$K$282,0),11)=DummyStandings!$E34,1,IF(INDEX(Results!$B$2:$AB$282,MATCH(DummyStandings!$E34&amp;DummyStandings!Y$31,Results!$K$2:$K$282,0),11)=DummyStandings!$E34,1,0))))</f>
        <v>2</v>
      </c>
      <c r="Z34" s="35">
        <f>IF(Z$31=$E34,0,INDEX(Results!$B$2:$O$282,MATCH(DummyStandings!$E34&amp;DummyStandings!Z$31,Results!$K$2:$K$282,0),3)-INDEX(Results!$B$2:$O$282,MATCH(DummyStandings!$E34&amp;DummyStandings!Z$31,Results!$K$2:$K$282,0),4))</f>
        <v>3</v>
      </c>
      <c r="AA34" s="137">
        <f t="shared" si="88"/>
        <v>0</v>
      </c>
      <c r="AB34" s="34">
        <f>IF(AB$31=$E34,0,IF(AND(INDEX(Results!$B$2:$AB$282,MATCH(DummyStandings!AB$31&amp;DummyStandings!$E34,Results!$K$2:$K$282,0),11)=DummyStandings!$E34,INDEX(Results!$B$2:$AB$282,MATCH(DummyStandings!$E34&amp;DummyStandings!AB$31,Results!$K$2:$K$282,0),11)=DummyStandings!$E34),2,IF(INDEX(Results!$B$2:$AB$282,MATCH(DummyStandings!AB$31&amp;DummyStandings!$E34,Results!$K$2:$K$282,0),11)=DummyStandings!$E34,1,IF(INDEX(Results!$B$2:$AB$282,MATCH(DummyStandings!$E34&amp;DummyStandings!AB$31,Results!$K$2:$K$282,0),11)=DummyStandings!$E34,1,0))))</f>
        <v>0</v>
      </c>
      <c r="AC34" s="35">
        <f>IF(AC$31=$E34,0,INDEX(Results!$B$2:$O$282,MATCH(DummyStandings!$E34&amp;DummyStandings!AC$31,Results!$K$2:$K$282,0),3)-INDEX(Results!$B$2:$O$282,MATCH(DummyStandings!$E34&amp;DummyStandings!AC$31,Results!$K$2:$K$282,0),4))</f>
        <v>-34</v>
      </c>
      <c r="AD34" s="132">
        <f t="shared" si="98"/>
        <v>0</v>
      </c>
      <c r="AE34" s="137">
        <f t="shared" si="98"/>
        <v>-30</v>
      </c>
      <c r="AF34" s="137">
        <f t="shared" si="89"/>
        <v>32</v>
      </c>
      <c r="AG34" s="132">
        <f t="shared" si="19"/>
        <v>1</v>
      </c>
      <c r="AH34" s="34">
        <f t="shared" si="90"/>
        <v>4</v>
      </c>
      <c r="AI34" s="137">
        <f t="shared" si="91"/>
        <v>0</v>
      </c>
      <c r="AJ34" s="137">
        <f t="shared" si="92"/>
        <v>0</v>
      </c>
      <c r="AK34" s="137">
        <f t="shared" si="93"/>
        <v>0</v>
      </c>
      <c r="AL34" s="132">
        <f t="shared" si="20"/>
        <v>0</v>
      </c>
      <c r="AM34" s="34">
        <f t="shared" si="21"/>
        <v>14</v>
      </c>
      <c r="AN34" s="34">
        <f t="shared" si="22"/>
        <v>3</v>
      </c>
      <c r="AO34" s="34">
        <f t="shared" si="23"/>
        <v>11</v>
      </c>
      <c r="AP34" s="34">
        <f t="shared" si="24"/>
        <v>159</v>
      </c>
      <c r="AQ34" s="34">
        <f t="shared" si="25"/>
        <v>342</v>
      </c>
      <c r="AR34" s="34">
        <f t="shared" si="26"/>
        <v>-183</v>
      </c>
      <c r="AS34" s="137">
        <f t="shared" si="27"/>
        <v>7</v>
      </c>
      <c r="AT34" s="34">
        <f>SUMPRODUCT((Results!$C$3:$C$282=DummyStandings!$C34)*(Results!$D$3:$D$282&gt;Results!$E$3:$E$282))</f>
        <v>1</v>
      </c>
      <c r="AU34" s="34">
        <f>SUMPRODUCT((Results!$C$3:$C$282=DummyStandings!$C34)*(Results!$D$3:$D$282&lt;Results!$E$3:$E$282))</f>
        <v>6</v>
      </c>
      <c r="AV34" s="34">
        <f>SUMIF(Results!$C$3:$C$282,$C34,Results!$D$3:$D$282)</f>
        <v>85</v>
      </c>
      <c r="AW34" s="34">
        <f>SUMIF(Results!$C$3:$C$282,$C34,Results!$E$3:$E$282)</f>
        <v>219</v>
      </c>
      <c r="AX34" s="34">
        <f t="shared" si="28"/>
        <v>-134</v>
      </c>
      <c r="AY34" s="137">
        <f t="shared" si="29"/>
        <v>7</v>
      </c>
      <c r="AZ34" s="34">
        <f>SUMPRODUCT((Results!$F$3:$F$282=DummyStandings!$C34)*(Results!$E$3:$E$282&gt;Results!$D$3:$D$282))</f>
        <v>2</v>
      </c>
      <c r="BA34" s="34">
        <f>SUMPRODUCT((Results!$F$3:$F$282=DummyStandings!$C34)*(Results!$E$3:$E$282&lt;Results!$D$3:$D$282))</f>
        <v>5</v>
      </c>
      <c r="BB34" s="34">
        <f>SUMIF(Results!$F$3:$F$282,$C34,Results!$E$3:$E$282)</f>
        <v>74</v>
      </c>
      <c r="BC34" s="34">
        <f>SUMIF(Results!$F$3:$F$282,$C34,Results!$D$3:$D$282)</f>
        <v>123</v>
      </c>
      <c r="BD34" s="35">
        <f t="shared" si="30"/>
        <v>-49</v>
      </c>
      <c r="BE34" s="34">
        <f>INDEX(Teams!$B$5:$H$45,MATCH(DummyStandings!E34,Teams!$G$5:$G$45,0),7)</f>
        <v>26</v>
      </c>
      <c r="BF34" s="272">
        <f t="shared" si="40"/>
        <v>0.24285714285714285</v>
      </c>
      <c r="BG34" s="275">
        <f t="shared" si="31"/>
        <v>0.35857142857142854</v>
      </c>
      <c r="BH34" s="275">
        <f t="shared" si="41"/>
        <v>0.2814285714285714</v>
      </c>
      <c r="BI34" s="34">
        <v>1</v>
      </c>
      <c r="BJ34" s="132">
        <f t="shared" si="32"/>
        <v>32</v>
      </c>
      <c r="BK34" s="35">
        <f t="shared" si="33"/>
        <v>1</v>
      </c>
      <c r="BL34" s="35">
        <f t="shared" si="34"/>
        <v>0</v>
      </c>
      <c r="BM34" s="35">
        <f t="shared" si="35"/>
        <v>0</v>
      </c>
      <c r="BN34" s="35">
        <f t="shared" si="36"/>
        <v>0</v>
      </c>
      <c r="BO34" s="35">
        <f t="shared" si="37"/>
        <v>0</v>
      </c>
      <c r="BP34" s="137">
        <f t="shared" si="38"/>
        <v>0</v>
      </c>
      <c r="BQ34" s="132">
        <f t="shared" si="94"/>
        <v>34</v>
      </c>
      <c r="BR34" s="137">
        <f t="shared" si="95"/>
        <v>3</v>
      </c>
      <c r="BS34" s="132">
        <f t="shared" si="96"/>
        <v>5</v>
      </c>
      <c r="BT34" s="35">
        <f t="shared" si="39"/>
        <v>37</v>
      </c>
    </row>
    <row r="35" spans="2:72" ht="12.75">
      <c r="B35" s="132">
        <f t="shared" si="97"/>
        <v>32</v>
      </c>
      <c r="C35" s="161" t="str">
        <f>Teams!B33</f>
        <v>Northern Dinagat State University</v>
      </c>
      <c r="D35" s="137" t="str">
        <f>INDEX(Teams!$B$5:$F$45,MATCH(DummyStandings!$C35,Teams!$B$5:$B$45,0),COLUMN()+1)</f>
        <v>Sequoia</v>
      </c>
      <c r="E35" s="165" t="str">
        <f>INDEX(Teams!$B$5:$H$45,MATCH(DummyStandings!$C35,Teams!$B$5:$B$45,0),6)</f>
        <v>NRDN</v>
      </c>
      <c r="F35" s="137">
        <f t="shared" si="81"/>
        <v>0</v>
      </c>
      <c r="G35" s="34">
        <f>IF(G$31=$E35,0,IF(AND(INDEX(Results!$B$2:$AB$282,MATCH(DummyStandings!G$31&amp;DummyStandings!$E35,Results!$K$2:$K$282,0),11)=DummyStandings!$E35,INDEX(Results!$B$2:$AB$282,MATCH(DummyStandings!$E35&amp;DummyStandings!G$31,Results!$K$2:$K$282,0),11)=DummyStandings!$E35),2,IF(INDEX(Results!$B$2:$AB$282,MATCH(DummyStandings!G$31&amp;DummyStandings!$E35,Results!$K$2:$K$282,0),11)=DummyStandings!$E35,1,IF(INDEX(Results!$B$2:$AB$282,MATCH(DummyStandings!$E35&amp;DummyStandings!G$31,Results!$K$2:$K$282,0),11)=DummyStandings!$E35,1,0))))</f>
        <v>0</v>
      </c>
      <c r="H35" s="35">
        <f>IF(H$31=$E35,0,INDEX(Results!$B$2:$O$282,MATCH(DummyStandings!$E35&amp;DummyStandings!H$31,Results!$K$2:$K$282,0),3)-INDEX(Results!$B$2:$O$282,MATCH(DummyStandings!$E35&amp;DummyStandings!H$31,Results!$K$2:$K$282,0),4))</f>
        <v>-10</v>
      </c>
      <c r="I35" s="137">
        <f t="shared" si="82"/>
        <v>0</v>
      </c>
      <c r="J35" s="34">
        <f>IF(J$31=$E35,0,IF(AND(INDEX(Results!$B$2:$AB$282,MATCH(DummyStandings!J$31&amp;DummyStandings!$E35,Results!$K$2:$K$282,0),11)=DummyStandings!$E35,INDEX(Results!$B$2:$AB$282,MATCH(DummyStandings!$E35&amp;DummyStandings!J$31,Results!$K$2:$K$282,0),11)=DummyStandings!$E35),2,IF(INDEX(Results!$B$2:$AB$282,MATCH(DummyStandings!J$31&amp;DummyStandings!$E35,Results!$K$2:$K$282,0),11)=DummyStandings!$E35,1,IF(INDEX(Results!$B$2:$AB$282,MATCH(DummyStandings!$E35&amp;DummyStandings!J$31,Results!$K$2:$K$282,0),11)=DummyStandings!$E35,1,0))))</f>
        <v>0</v>
      </c>
      <c r="K35" s="35">
        <f>IF(K$31=$E35,0,INDEX(Results!$B$2:$O$282,MATCH(DummyStandings!$E35&amp;DummyStandings!K$31,Results!$K$2:$K$282,0),3)-INDEX(Results!$B$2:$O$282,MATCH(DummyStandings!$E35&amp;DummyStandings!K$31,Results!$K$2:$K$282,0),4))</f>
        <v>-32</v>
      </c>
      <c r="L35" s="137">
        <f t="shared" si="83"/>
        <v>1</v>
      </c>
      <c r="M35" s="34">
        <f>IF(M$31=$E35,0,IF(AND(INDEX(Results!$B$2:$AB$282,MATCH(DummyStandings!M$31&amp;DummyStandings!$E35,Results!$K$2:$K$282,0),11)=DummyStandings!$E35,INDEX(Results!$B$2:$AB$282,MATCH(DummyStandings!$E35&amp;DummyStandings!M$31,Results!$K$2:$K$282,0),11)=DummyStandings!$E35),2,IF(INDEX(Results!$B$2:$AB$282,MATCH(DummyStandings!M$31&amp;DummyStandings!$E35,Results!$K$2:$K$282,0),11)=DummyStandings!$E35,1,IF(INDEX(Results!$B$2:$AB$282,MATCH(DummyStandings!$E35&amp;DummyStandings!M$31,Results!$K$2:$K$282,0),11)=DummyStandings!$E35,1,0))))</f>
        <v>2</v>
      </c>
      <c r="N35" s="35">
        <f>IF(N$31=$E35,0,INDEX(Results!$B$2:$O$282,MATCH(DummyStandings!$E35&amp;DummyStandings!N$31,Results!$K$2:$K$282,0),3)-INDEX(Results!$B$2:$O$282,MATCH(DummyStandings!$E35&amp;DummyStandings!N$31,Results!$K$2:$K$282,0),4))</f>
        <v>3</v>
      </c>
      <c r="O35" s="137">
        <f t="shared" si="84"/>
        <v>0</v>
      </c>
      <c r="P35" s="34">
        <f>IF(P$31=$E35,0,IF(AND(INDEX(Results!$B$2:$AB$282,MATCH(DummyStandings!P$31&amp;DummyStandings!$E35,Results!$K$2:$K$282,0),11)=DummyStandings!$E35,INDEX(Results!$B$2:$AB$282,MATCH(DummyStandings!$E35&amp;DummyStandings!P$31,Results!$K$2:$K$282,0),11)=DummyStandings!$E35),2,IF(INDEX(Results!$B$2:$AB$282,MATCH(DummyStandings!P$31&amp;DummyStandings!$E35,Results!$K$2:$K$282,0),11)=DummyStandings!$E35,1,IF(INDEX(Results!$B$2:$AB$282,MATCH(DummyStandings!$E35&amp;DummyStandings!P$31,Results!$K$2:$K$282,0),11)=DummyStandings!$E35,1,0))))</f>
        <v>0</v>
      </c>
      <c r="Q35" s="35">
        <f>IF(Q$31=$E35,0,INDEX(Results!$B$2:$O$282,MATCH(DummyStandings!$E35&amp;DummyStandings!Q$31,Results!$K$2:$K$282,0),3)-INDEX(Results!$B$2:$O$282,MATCH(DummyStandings!$E35&amp;DummyStandings!Q$31,Results!$K$2:$K$282,0),4))</f>
        <v>0</v>
      </c>
      <c r="R35" s="137">
        <f t="shared" si="85"/>
        <v>0</v>
      </c>
      <c r="S35" s="34">
        <f>IF(S$31=$E35,0,IF(AND(INDEX(Results!$B$2:$AB$282,MATCH(DummyStandings!S$31&amp;DummyStandings!$E35,Results!$K$2:$K$282,0),11)=DummyStandings!$E35,INDEX(Results!$B$2:$AB$282,MATCH(DummyStandings!$E35&amp;DummyStandings!S$31,Results!$K$2:$K$282,0),11)=DummyStandings!$E35),2,IF(INDEX(Results!$B$2:$AB$282,MATCH(DummyStandings!S$31&amp;DummyStandings!$E35,Results!$K$2:$K$282,0),11)=DummyStandings!$E35,1,IF(INDEX(Results!$B$2:$AB$282,MATCH(DummyStandings!$E35&amp;DummyStandings!S$31,Results!$K$2:$K$282,0),11)=DummyStandings!$E35,1,0))))</f>
        <v>0</v>
      </c>
      <c r="T35" s="35">
        <f>IF(T$31=$E35,0,INDEX(Results!$B$2:$O$282,MATCH(DummyStandings!$E35&amp;DummyStandings!T$31,Results!$K$2:$K$282,0),3)-INDEX(Results!$B$2:$O$282,MATCH(DummyStandings!$E35&amp;DummyStandings!T$31,Results!$K$2:$K$282,0),4))</f>
        <v>-20</v>
      </c>
      <c r="U35" s="137">
        <f t="shared" si="86"/>
        <v>0</v>
      </c>
      <c r="V35" s="34">
        <f>IF(V$31=$E35,0,IF(AND(INDEX(Results!$B$2:$AB$282,MATCH(DummyStandings!V$31&amp;DummyStandings!$E35,Results!$K$2:$K$282,0),11)=DummyStandings!$E35,INDEX(Results!$B$2:$AB$282,MATCH(DummyStandings!$E35&amp;DummyStandings!V$31,Results!$K$2:$K$282,0),11)=DummyStandings!$E35),2,IF(INDEX(Results!$B$2:$AB$282,MATCH(DummyStandings!V$31&amp;DummyStandings!$E35,Results!$K$2:$K$282,0),11)=DummyStandings!$E35,1,IF(INDEX(Results!$B$2:$AB$282,MATCH(DummyStandings!$E35&amp;DummyStandings!V$31,Results!$K$2:$K$282,0),11)=DummyStandings!$E35,1,0))))</f>
        <v>0</v>
      </c>
      <c r="W35" s="35">
        <f>IF(W$31=$E35,0,INDEX(Results!$B$2:$O$282,MATCH(DummyStandings!$E35&amp;DummyStandings!W$31,Results!$K$2:$K$282,0),3)-INDEX(Results!$B$2:$O$282,MATCH(DummyStandings!$E35&amp;DummyStandings!W$31,Results!$K$2:$K$282,0),4))</f>
        <v>-14</v>
      </c>
      <c r="X35" s="137">
        <f t="shared" si="87"/>
        <v>0</v>
      </c>
      <c r="Y35" s="34">
        <f>IF(Y$31=$E35,0,IF(AND(INDEX(Results!$B$2:$AB$282,MATCH(DummyStandings!Y$31&amp;DummyStandings!$E35,Results!$K$2:$K$282,0),11)=DummyStandings!$E35,INDEX(Results!$B$2:$AB$282,MATCH(DummyStandings!$E35&amp;DummyStandings!Y$31,Results!$K$2:$K$282,0),11)=DummyStandings!$E35),2,IF(INDEX(Results!$B$2:$AB$282,MATCH(DummyStandings!Y$31&amp;DummyStandings!$E35,Results!$K$2:$K$282,0),11)=DummyStandings!$E35,1,IF(INDEX(Results!$B$2:$AB$282,MATCH(DummyStandings!$E35&amp;DummyStandings!Y$31,Results!$K$2:$K$282,0),11)=DummyStandings!$E35,1,0))))</f>
        <v>1</v>
      </c>
      <c r="Z35" s="35">
        <f>IF(Z$31=$E35,0,INDEX(Results!$B$2:$O$282,MATCH(DummyStandings!$E35&amp;DummyStandings!Z$31,Results!$K$2:$K$282,0),3)-INDEX(Results!$B$2:$O$282,MATCH(DummyStandings!$E35&amp;DummyStandings!Z$31,Results!$K$2:$K$282,0),4))</f>
        <v>-3</v>
      </c>
      <c r="AA35" s="137">
        <f t="shared" si="88"/>
        <v>0</v>
      </c>
      <c r="AB35" s="34">
        <f>IF(AB$31=$E35,0,IF(AND(INDEX(Results!$B$2:$AB$282,MATCH(DummyStandings!AB$31&amp;DummyStandings!$E35,Results!$K$2:$K$282,0),11)=DummyStandings!$E35,INDEX(Results!$B$2:$AB$282,MATCH(DummyStandings!$E35&amp;DummyStandings!AB$31,Results!$K$2:$K$282,0),11)=DummyStandings!$E35),2,IF(INDEX(Results!$B$2:$AB$282,MATCH(DummyStandings!AB$31&amp;DummyStandings!$E35,Results!$K$2:$K$282,0),11)=DummyStandings!$E35,1,IF(INDEX(Results!$B$2:$AB$282,MATCH(DummyStandings!$E35&amp;DummyStandings!AB$31,Results!$K$2:$K$282,0),11)=DummyStandings!$E35,1,0))))</f>
        <v>0</v>
      </c>
      <c r="AC35" s="35">
        <f>IF(AC$31=$E35,0,INDEX(Results!$B$2:$O$282,MATCH(DummyStandings!$E35&amp;DummyStandings!AC$31,Results!$K$2:$K$282,0),3)-INDEX(Results!$B$2:$O$282,MATCH(DummyStandings!$E35&amp;DummyStandings!AC$31,Results!$K$2:$K$282,0),4))</f>
        <v>-28</v>
      </c>
      <c r="AD35" s="132">
        <f t="shared" si="98"/>
        <v>2</v>
      </c>
      <c r="AE35" s="137">
        <f t="shared" si="98"/>
        <v>3</v>
      </c>
      <c r="AF35" s="137">
        <f t="shared" si="89"/>
        <v>32</v>
      </c>
      <c r="AG35" s="132">
        <f t="shared" si="19"/>
        <v>0</v>
      </c>
      <c r="AH35" s="34">
        <f t="shared" si="90"/>
        <v>0</v>
      </c>
      <c r="AI35" s="137">
        <f t="shared" si="91"/>
        <v>0</v>
      </c>
      <c r="AJ35" s="137">
        <f t="shared" si="92"/>
        <v>0</v>
      </c>
      <c r="AK35" s="137">
        <f t="shared" si="93"/>
        <v>0</v>
      </c>
      <c r="AL35" s="132">
        <f t="shared" si="20"/>
        <v>0</v>
      </c>
      <c r="AM35" s="34">
        <f t="shared" si="21"/>
        <v>14</v>
      </c>
      <c r="AN35" s="34">
        <f t="shared" si="22"/>
        <v>3</v>
      </c>
      <c r="AO35" s="34">
        <f t="shared" si="23"/>
        <v>11</v>
      </c>
      <c r="AP35" s="34">
        <f t="shared" si="24"/>
        <v>108</v>
      </c>
      <c r="AQ35" s="34">
        <f t="shared" si="25"/>
        <v>266</v>
      </c>
      <c r="AR35" s="34">
        <f t="shared" si="26"/>
        <v>-158</v>
      </c>
      <c r="AS35" s="137">
        <f t="shared" si="27"/>
        <v>7</v>
      </c>
      <c r="AT35" s="34">
        <f>SUMPRODUCT((Results!$C$3:$C$282=DummyStandings!$C35)*(Results!$D$3:$D$282&gt;Results!$E$3:$E$282))</f>
        <v>1</v>
      </c>
      <c r="AU35" s="34">
        <f>SUMPRODUCT((Results!$C$3:$C$282=DummyStandings!$C35)*(Results!$D$3:$D$282&lt;Results!$E$3:$E$282))</f>
        <v>6</v>
      </c>
      <c r="AV35" s="34">
        <f>SUMIF(Results!$C$3:$C$282,$C35,Results!$D$3:$D$282)</f>
        <v>29</v>
      </c>
      <c r="AW35" s="34">
        <f>SUMIF(Results!$C$3:$C$282,$C35,Results!$E$3:$E$282)</f>
        <v>133</v>
      </c>
      <c r="AX35" s="34">
        <f t="shared" si="28"/>
        <v>-104</v>
      </c>
      <c r="AY35" s="137">
        <f t="shared" si="29"/>
        <v>7</v>
      </c>
      <c r="AZ35" s="34">
        <f>SUMPRODUCT((Results!$F$3:$F$282=DummyStandings!$C35)*(Results!$E$3:$E$282&gt;Results!$D$3:$D$282))</f>
        <v>2</v>
      </c>
      <c r="BA35" s="34">
        <f>SUMPRODUCT((Results!$F$3:$F$282=DummyStandings!$C35)*(Results!$E$3:$E$282&lt;Results!$D$3:$D$282))</f>
        <v>5</v>
      </c>
      <c r="BB35" s="34">
        <f>SUMIF(Results!$F$3:$F$282,$C35,Results!$E$3:$E$282)</f>
        <v>79</v>
      </c>
      <c r="BC35" s="34">
        <f>SUMIF(Results!$F$3:$F$282,$C35,Results!$D$3:$D$282)</f>
        <v>133</v>
      </c>
      <c r="BD35" s="35">
        <f t="shared" si="30"/>
        <v>-54</v>
      </c>
      <c r="BE35" s="34">
        <f>INDEX(Teams!$B$5:$H$45,MATCH(DummyStandings!E35,Teams!$G$5:$G$45,0),7)</f>
        <v>14</v>
      </c>
      <c r="BF35" s="272">
        <f t="shared" si="40"/>
        <v>0.24285714285714285</v>
      </c>
      <c r="BG35" s="275">
        <f t="shared" si="31"/>
        <v>0.35857142857142854</v>
      </c>
      <c r="BH35" s="275">
        <f t="shared" si="41"/>
        <v>0.2814285714285714</v>
      </c>
      <c r="BI35" s="34">
        <v>1</v>
      </c>
      <c r="BJ35" s="132">
        <f t="shared" si="32"/>
        <v>32</v>
      </c>
      <c r="BK35" s="35">
        <f t="shared" si="33"/>
        <v>0</v>
      </c>
      <c r="BL35" s="35">
        <f t="shared" si="34"/>
        <v>0</v>
      </c>
      <c r="BM35" s="35">
        <f t="shared" si="35"/>
        <v>0</v>
      </c>
      <c r="BN35" s="35">
        <f t="shared" si="36"/>
        <v>0</v>
      </c>
      <c r="BO35" s="35">
        <f t="shared" si="37"/>
        <v>0</v>
      </c>
      <c r="BP35" s="137">
        <f t="shared" si="38"/>
        <v>0</v>
      </c>
      <c r="BQ35" s="132">
        <f t="shared" si="94"/>
        <v>33</v>
      </c>
      <c r="BR35" s="137">
        <f t="shared" si="95"/>
        <v>-1</v>
      </c>
      <c r="BS35" s="132">
        <f t="shared" si="96"/>
        <v>2</v>
      </c>
      <c r="BT35" s="35">
        <f t="shared" si="39"/>
        <v>34</v>
      </c>
    </row>
    <row r="36" spans="2:72" ht="12.75">
      <c r="B36" s="132">
        <f t="shared" si="97"/>
        <v>6</v>
      </c>
      <c r="C36" s="161" t="str">
        <f>Teams!B34</f>
        <v>Riversburg-Madison University</v>
      </c>
      <c r="D36" s="137" t="str">
        <f>INDEX(Teams!$B$5:$F$45,MATCH(DummyStandings!$C36,Teams!$B$5:$B$45,0),COLUMN()+1)</f>
        <v>Sequoia</v>
      </c>
      <c r="E36" s="165" t="str">
        <f>INDEX(Teams!$B$5:$H$45,MATCH(DummyStandings!$C36,Teams!$B$5:$B$45,0),6)</f>
        <v>RVMD</v>
      </c>
      <c r="F36" s="137">
        <f t="shared" si="81"/>
        <v>0</v>
      </c>
      <c r="G36" s="34">
        <f>IF(G$31=$E36,0,IF(AND(INDEX(Results!$B$2:$AB$282,MATCH(DummyStandings!G$31&amp;DummyStandings!$E36,Results!$K$2:$K$282,0),11)=DummyStandings!$E36,INDEX(Results!$B$2:$AB$282,MATCH(DummyStandings!$E36&amp;DummyStandings!G$31,Results!$K$2:$K$282,0),11)=DummyStandings!$E36),2,IF(INDEX(Results!$B$2:$AB$282,MATCH(DummyStandings!G$31&amp;DummyStandings!$E36,Results!$K$2:$K$282,0),11)=DummyStandings!$E36,1,IF(INDEX(Results!$B$2:$AB$282,MATCH(DummyStandings!$E36&amp;DummyStandings!G$31,Results!$K$2:$K$282,0),11)=DummyStandings!$E36,1,0))))</f>
        <v>1</v>
      </c>
      <c r="H36" s="35">
        <f>IF(H$31=$E36,0,INDEX(Results!$B$2:$O$282,MATCH(DummyStandings!$E36&amp;DummyStandings!H$31,Results!$K$2:$K$282,0),3)-INDEX(Results!$B$2:$O$282,MATCH(DummyStandings!$E36&amp;DummyStandings!H$31,Results!$K$2:$K$282,0),4))</f>
        <v>-4</v>
      </c>
      <c r="I36" s="137">
        <f t="shared" si="82"/>
        <v>0</v>
      </c>
      <c r="J36" s="34">
        <f>IF(J$31=$E36,0,IF(AND(INDEX(Results!$B$2:$AB$282,MATCH(DummyStandings!J$31&amp;DummyStandings!$E36,Results!$K$2:$K$282,0),11)=DummyStandings!$E36,INDEX(Results!$B$2:$AB$282,MATCH(DummyStandings!$E36&amp;DummyStandings!J$31,Results!$K$2:$K$282,0),11)=DummyStandings!$E36),2,IF(INDEX(Results!$B$2:$AB$282,MATCH(DummyStandings!J$31&amp;DummyStandings!$E36,Results!$K$2:$K$282,0),11)=DummyStandings!$E36,1,IF(INDEX(Results!$B$2:$AB$282,MATCH(DummyStandings!$E36&amp;DummyStandings!J$31,Results!$K$2:$K$282,0),11)=DummyStandings!$E36,1,0))))</f>
        <v>2</v>
      </c>
      <c r="K36" s="35">
        <f>IF(K$31=$E36,0,INDEX(Results!$B$2:$O$282,MATCH(DummyStandings!$E36&amp;DummyStandings!K$31,Results!$K$2:$K$282,0),3)-INDEX(Results!$B$2:$O$282,MATCH(DummyStandings!$E36&amp;DummyStandings!K$31,Results!$K$2:$K$282,0),4))</f>
        <v>16</v>
      </c>
      <c r="L36" s="137">
        <f t="shared" si="83"/>
        <v>0</v>
      </c>
      <c r="M36" s="34">
        <f>IF(M$31=$E36,0,IF(AND(INDEX(Results!$B$2:$AB$282,MATCH(DummyStandings!M$31&amp;DummyStandings!$E36,Results!$K$2:$K$282,0),11)=DummyStandings!$E36,INDEX(Results!$B$2:$AB$282,MATCH(DummyStandings!$E36&amp;DummyStandings!M$31,Results!$K$2:$K$282,0),11)=DummyStandings!$E36),2,IF(INDEX(Results!$B$2:$AB$282,MATCH(DummyStandings!M$31&amp;DummyStandings!$E36,Results!$K$2:$K$282,0),11)=DummyStandings!$E36,1,IF(INDEX(Results!$B$2:$AB$282,MATCH(DummyStandings!$E36&amp;DummyStandings!M$31,Results!$K$2:$K$282,0),11)=DummyStandings!$E36,1,0))))</f>
        <v>2</v>
      </c>
      <c r="N36" s="35">
        <f>IF(N$31=$E36,0,INDEX(Results!$B$2:$O$282,MATCH(DummyStandings!$E36&amp;DummyStandings!N$31,Results!$K$2:$K$282,0),3)-INDEX(Results!$B$2:$O$282,MATCH(DummyStandings!$E36&amp;DummyStandings!N$31,Results!$K$2:$K$282,0),4))</f>
        <v>17</v>
      </c>
      <c r="O36" s="137">
        <f t="shared" si="84"/>
        <v>0</v>
      </c>
      <c r="P36" s="34">
        <f>IF(P$31=$E36,0,IF(AND(INDEX(Results!$B$2:$AB$282,MATCH(DummyStandings!P$31&amp;DummyStandings!$E36,Results!$K$2:$K$282,0),11)=DummyStandings!$E36,INDEX(Results!$B$2:$AB$282,MATCH(DummyStandings!$E36&amp;DummyStandings!P$31,Results!$K$2:$K$282,0),11)=DummyStandings!$E36),2,IF(INDEX(Results!$B$2:$AB$282,MATCH(DummyStandings!P$31&amp;DummyStandings!$E36,Results!$K$2:$K$282,0),11)=DummyStandings!$E36,1,IF(INDEX(Results!$B$2:$AB$282,MATCH(DummyStandings!$E36&amp;DummyStandings!P$31,Results!$K$2:$K$282,0),11)=DummyStandings!$E36,1,0))))</f>
        <v>2</v>
      </c>
      <c r="Q36" s="35">
        <f>IF(Q$31=$E36,0,INDEX(Results!$B$2:$O$282,MATCH(DummyStandings!$E36&amp;DummyStandings!Q$31,Results!$K$2:$K$282,0),3)-INDEX(Results!$B$2:$O$282,MATCH(DummyStandings!$E36&amp;DummyStandings!Q$31,Results!$K$2:$K$282,0),4))</f>
        <v>51</v>
      </c>
      <c r="R36" s="137">
        <f t="shared" si="85"/>
        <v>0</v>
      </c>
      <c r="S36" s="34">
        <f>IF(S$31=$E36,0,IF(AND(INDEX(Results!$B$2:$AB$282,MATCH(DummyStandings!S$31&amp;DummyStandings!$E36,Results!$K$2:$K$282,0),11)=DummyStandings!$E36,INDEX(Results!$B$2:$AB$282,MATCH(DummyStandings!$E36&amp;DummyStandings!S$31,Results!$K$2:$K$282,0),11)=DummyStandings!$E36),2,IF(INDEX(Results!$B$2:$AB$282,MATCH(DummyStandings!S$31&amp;DummyStandings!$E36,Results!$K$2:$K$282,0),11)=DummyStandings!$E36,1,IF(INDEX(Results!$B$2:$AB$282,MATCH(DummyStandings!$E36&amp;DummyStandings!S$31,Results!$K$2:$K$282,0),11)=DummyStandings!$E36,1,0))))</f>
        <v>0</v>
      </c>
      <c r="T36" s="35">
        <f>IF(T$31=$E36,0,INDEX(Results!$B$2:$O$282,MATCH(DummyStandings!$E36&amp;DummyStandings!T$31,Results!$K$2:$K$282,0),3)-INDEX(Results!$B$2:$O$282,MATCH(DummyStandings!$E36&amp;DummyStandings!T$31,Results!$K$2:$K$282,0),4))</f>
        <v>0</v>
      </c>
      <c r="U36" s="137">
        <f t="shared" si="86"/>
        <v>0</v>
      </c>
      <c r="V36" s="34">
        <f>IF(V$31=$E36,0,IF(AND(INDEX(Results!$B$2:$AB$282,MATCH(DummyStandings!V$31&amp;DummyStandings!$E36,Results!$K$2:$K$282,0),11)=DummyStandings!$E36,INDEX(Results!$B$2:$AB$282,MATCH(DummyStandings!$E36&amp;DummyStandings!V$31,Results!$K$2:$K$282,0),11)=DummyStandings!$E36),2,IF(INDEX(Results!$B$2:$AB$282,MATCH(DummyStandings!V$31&amp;DummyStandings!$E36,Results!$K$2:$K$282,0),11)=DummyStandings!$E36,1,IF(INDEX(Results!$B$2:$AB$282,MATCH(DummyStandings!$E36&amp;DummyStandings!V$31,Results!$K$2:$K$282,0),11)=DummyStandings!$E36,1,0))))</f>
        <v>2</v>
      </c>
      <c r="W36" s="35">
        <f>IF(W$31=$E36,0,INDEX(Results!$B$2:$O$282,MATCH(DummyStandings!$E36&amp;DummyStandings!W$31,Results!$K$2:$K$282,0),3)-INDEX(Results!$B$2:$O$282,MATCH(DummyStandings!$E36&amp;DummyStandings!W$31,Results!$K$2:$K$282,0),4))</f>
        <v>18</v>
      </c>
      <c r="X36" s="137">
        <f t="shared" si="87"/>
        <v>0</v>
      </c>
      <c r="Y36" s="34">
        <f>IF(Y$31=$E36,0,IF(AND(INDEX(Results!$B$2:$AB$282,MATCH(DummyStandings!Y$31&amp;DummyStandings!$E36,Results!$K$2:$K$282,0),11)=DummyStandings!$E36,INDEX(Results!$B$2:$AB$282,MATCH(DummyStandings!$E36&amp;DummyStandings!Y$31,Results!$K$2:$K$282,0),11)=DummyStandings!$E36),2,IF(INDEX(Results!$B$2:$AB$282,MATCH(DummyStandings!Y$31&amp;DummyStandings!$E36,Results!$K$2:$K$282,0),11)=DummyStandings!$E36,1,IF(INDEX(Results!$B$2:$AB$282,MATCH(DummyStandings!$E36&amp;DummyStandings!Y$31,Results!$K$2:$K$282,0),11)=DummyStandings!$E36,1,0))))</f>
        <v>2</v>
      </c>
      <c r="Z36" s="35">
        <f>IF(Z$31=$E36,0,INDEX(Results!$B$2:$O$282,MATCH(DummyStandings!$E36&amp;DummyStandings!Z$31,Results!$K$2:$K$282,0),3)-INDEX(Results!$B$2:$O$282,MATCH(DummyStandings!$E36&amp;DummyStandings!Z$31,Results!$K$2:$K$282,0),4))</f>
        <v>6</v>
      </c>
      <c r="AA36" s="137">
        <f t="shared" si="88"/>
        <v>1</v>
      </c>
      <c r="AB36" s="34">
        <f>IF(AB$31=$E36,0,IF(AND(INDEX(Results!$B$2:$AB$282,MATCH(DummyStandings!AB$31&amp;DummyStandings!$E36,Results!$K$2:$K$282,0),11)=DummyStandings!$E36,INDEX(Results!$B$2:$AB$282,MATCH(DummyStandings!$E36&amp;DummyStandings!AB$31,Results!$K$2:$K$282,0),11)=DummyStandings!$E36),2,IF(INDEX(Results!$B$2:$AB$282,MATCH(DummyStandings!AB$31&amp;DummyStandings!$E36,Results!$K$2:$K$282,0),11)=DummyStandings!$E36,1,IF(INDEX(Results!$B$2:$AB$282,MATCH(DummyStandings!$E36&amp;DummyStandings!AB$31,Results!$K$2:$K$282,0),11)=DummyStandings!$E36,1,0))))</f>
        <v>1</v>
      </c>
      <c r="AC36" s="35">
        <f>IF(AC$31=$E36,0,INDEX(Results!$B$2:$O$282,MATCH(DummyStandings!$E36&amp;DummyStandings!AC$31,Results!$K$2:$K$282,0),3)-INDEX(Results!$B$2:$O$282,MATCH(DummyStandings!$E36&amp;DummyStandings!AC$31,Results!$K$2:$K$282,0),4))</f>
        <v>-21</v>
      </c>
      <c r="AD36" s="132">
        <f t="shared" si="98"/>
        <v>0</v>
      </c>
      <c r="AE36" s="137">
        <f t="shared" si="98"/>
        <v>0</v>
      </c>
      <c r="AF36" s="137">
        <f t="shared" si="89"/>
        <v>4</v>
      </c>
      <c r="AG36" s="132">
        <f t="shared" si="19"/>
        <v>1</v>
      </c>
      <c r="AH36" s="34">
        <f t="shared" si="90"/>
        <v>0</v>
      </c>
      <c r="AI36" s="137">
        <f t="shared" si="91"/>
        <v>1</v>
      </c>
      <c r="AJ36" s="137">
        <f t="shared" si="92"/>
        <v>0</v>
      </c>
      <c r="AK36" s="137">
        <f t="shared" si="93"/>
        <v>0</v>
      </c>
      <c r="AL36" s="132">
        <f t="shared" si="20"/>
        <v>0</v>
      </c>
      <c r="AM36" s="34">
        <f t="shared" si="21"/>
        <v>14</v>
      </c>
      <c r="AN36" s="34">
        <f t="shared" si="22"/>
        <v>12</v>
      </c>
      <c r="AO36" s="34">
        <f t="shared" si="23"/>
        <v>2</v>
      </c>
      <c r="AP36" s="34">
        <f t="shared" si="24"/>
        <v>324</v>
      </c>
      <c r="AQ36" s="34">
        <f t="shared" si="25"/>
        <v>149</v>
      </c>
      <c r="AR36" s="34">
        <f t="shared" si="26"/>
        <v>175</v>
      </c>
      <c r="AS36" s="137">
        <f t="shared" si="27"/>
        <v>7</v>
      </c>
      <c r="AT36" s="34">
        <f>SUMPRODUCT((Results!$C$3:$C$282=DummyStandings!$C36)*(Results!$D$3:$D$282&gt;Results!$E$3:$E$282))</f>
        <v>5</v>
      </c>
      <c r="AU36" s="34">
        <f>SUMPRODUCT((Results!$C$3:$C$282=DummyStandings!$C36)*(Results!$D$3:$D$282&lt;Results!$E$3:$E$282))</f>
        <v>2</v>
      </c>
      <c r="AV36" s="34">
        <f>SUMIF(Results!$C$3:$C$282,$C36,Results!$D$3:$D$282)</f>
        <v>183</v>
      </c>
      <c r="AW36" s="34">
        <f>SUMIF(Results!$C$3:$C$282,$C36,Results!$E$3:$E$282)</f>
        <v>100</v>
      </c>
      <c r="AX36" s="34">
        <f t="shared" si="28"/>
        <v>83</v>
      </c>
      <c r="AY36" s="137">
        <f t="shared" si="29"/>
        <v>7</v>
      </c>
      <c r="AZ36" s="34">
        <f>SUMPRODUCT((Results!$F$3:$F$282=DummyStandings!$C36)*(Results!$E$3:$E$282&gt;Results!$D$3:$D$282))</f>
        <v>7</v>
      </c>
      <c r="BA36" s="34">
        <f>SUMPRODUCT((Results!$F$3:$F$282=DummyStandings!$C36)*(Results!$E$3:$E$282&lt;Results!$D$3:$D$282))</f>
        <v>0</v>
      </c>
      <c r="BB36" s="34">
        <f>SUMIF(Results!$F$3:$F$282,$C36,Results!$E$3:$E$282)</f>
        <v>141</v>
      </c>
      <c r="BC36" s="34">
        <f>SUMIF(Results!$F$3:$F$282,$C36,Results!$D$3:$D$282)</f>
        <v>49</v>
      </c>
      <c r="BD36" s="35">
        <f t="shared" si="30"/>
        <v>92</v>
      </c>
      <c r="BE36" s="34">
        <f>INDEX(Teams!$B$5:$H$45,MATCH(DummyStandings!E36,Teams!$G$5:$G$45,0),7)</f>
        <v>3</v>
      </c>
      <c r="BF36" s="272">
        <f t="shared" si="40"/>
        <v>0.9142857142857143</v>
      </c>
      <c r="BG36" s="275">
        <f t="shared" si="31"/>
        <v>0.2914285714285715</v>
      </c>
      <c r="BH36" s="275">
        <f t="shared" si="41"/>
        <v>0.7066666666666667</v>
      </c>
      <c r="BI36" s="34">
        <v>1</v>
      </c>
      <c r="BJ36" s="132">
        <f t="shared" si="32"/>
        <v>3</v>
      </c>
      <c r="BK36" s="35">
        <f t="shared" si="33"/>
        <v>1</v>
      </c>
      <c r="BL36" s="35">
        <f t="shared" si="34"/>
        <v>0</v>
      </c>
      <c r="BM36" s="35">
        <f t="shared" si="35"/>
        <v>0</v>
      </c>
      <c r="BN36" s="35">
        <f t="shared" si="36"/>
        <v>0</v>
      </c>
      <c r="BO36" s="35">
        <f t="shared" si="37"/>
        <v>0</v>
      </c>
      <c r="BP36" s="137">
        <f t="shared" si="38"/>
        <v>0</v>
      </c>
      <c r="BQ36" s="132">
        <f t="shared" si="94"/>
        <v>5</v>
      </c>
      <c r="BR36" s="137">
        <f t="shared" si="95"/>
        <v>1</v>
      </c>
      <c r="BS36" s="132">
        <f t="shared" si="96"/>
        <v>2</v>
      </c>
      <c r="BT36" s="35">
        <f t="shared" si="39"/>
        <v>6</v>
      </c>
    </row>
    <row r="37" spans="2:72" ht="12.75">
      <c r="B37" s="132">
        <f t="shared" si="97"/>
        <v>13</v>
      </c>
      <c r="C37" s="161" t="str">
        <f>Teams!B35</f>
        <v>University of St. John's Island</v>
      </c>
      <c r="D37" s="137" t="str">
        <f>INDEX(Teams!$B$5:$F$45,MATCH(DummyStandings!$C37,Teams!$B$5:$B$45,0),COLUMN()+1)</f>
        <v>Sequoia</v>
      </c>
      <c r="E37" s="165" t="str">
        <f>INDEX(Teams!$B$5:$H$45,MATCH(DummyStandings!$C37,Teams!$B$5:$B$45,0),6)</f>
        <v>STJN</v>
      </c>
      <c r="F37" s="137">
        <f t="shared" si="81"/>
        <v>0</v>
      </c>
      <c r="G37" s="34">
        <f>IF(G$31=$E37,0,IF(AND(INDEX(Results!$B$2:$AB$282,MATCH(DummyStandings!G$31&amp;DummyStandings!$E37,Results!$K$2:$K$282,0),11)=DummyStandings!$E37,INDEX(Results!$B$2:$AB$282,MATCH(DummyStandings!$E37&amp;DummyStandings!G$31,Results!$K$2:$K$282,0),11)=DummyStandings!$E37),2,IF(INDEX(Results!$B$2:$AB$282,MATCH(DummyStandings!G$31&amp;DummyStandings!$E37,Results!$K$2:$K$282,0),11)=DummyStandings!$E37,1,IF(INDEX(Results!$B$2:$AB$282,MATCH(DummyStandings!$E37&amp;DummyStandings!G$31,Results!$K$2:$K$282,0),11)=DummyStandings!$E37,1,0))))</f>
        <v>2</v>
      </c>
      <c r="H37" s="35">
        <f>IF(H$31=$E37,0,INDEX(Results!$B$2:$O$282,MATCH(DummyStandings!$E37&amp;DummyStandings!H$31,Results!$K$2:$K$282,0),3)-INDEX(Results!$B$2:$O$282,MATCH(DummyStandings!$E37&amp;DummyStandings!H$31,Results!$K$2:$K$282,0),4))</f>
        <v>10</v>
      </c>
      <c r="I37" s="137">
        <f t="shared" si="82"/>
        <v>0</v>
      </c>
      <c r="J37" s="34">
        <f>IF(J$31=$E37,0,IF(AND(INDEX(Results!$B$2:$AB$282,MATCH(DummyStandings!J$31&amp;DummyStandings!$E37,Results!$K$2:$K$282,0),11)=DummyStandings!$E37,INDEX(Results!$B$2:$AB$282,MATCH(DummyStandings!$E37&amp;DummyStandings!J$31,Results!$K$2:$K$282,0),11)=DummyStandings!$E37),2,IF(INDEX(Results!$B$2:$AB$282,MATCH(DummyStandings!J$31&amp;DummyStandings!$E37,Results!$K$2:$K$282,0),11)=DummyStandings!$E37,1,IF(INDEX(Results!$B$2:$AB$282,MATCH(DummyStandings!$E37&amp;DummyStandings!J$31,Results!$K$2:$K$282,0),11)=DummyStandings!$E37,1,0))))</f>
        <v>2</v>
      </c>
      <c r="K37" s="35">
        <f>IF(K$31=$E37,0,INDEX(Results!$B$2:$O$282,MATCH(DummyStandings!$E37&amp;DummyStandings!K$31,Results!$K$2:$K$282,0),3)-INDEX(Results!$B$2:$O$282,MATCH(DummyStandings!$E37&amp;DummyStandings!K$31,Results!$K$2:$K$282,0),4))</f>
        <v>21</v>
      </c>
      <c r="L37" s="137">
        <f t="shared" si="83"/>
        <v>0</v>
      </c>
      <c r="M37" s="34">
        <f>IF(M$31=$E37,0,IF(AND(INDEX(Results!$B$2:$AB$282,MATCH(DummyStandings!M$31&amp;DummyStandings!$E37,Results!$K$2:$K$282,0),11)=DummyStandings!$E37,INDEX(Results!$B$2:$AB$282,MATCH(DummyStandings!$E37&amp;DummyStandings!M$31,Results!$K$2:$K$282,0),11)=DummyStandings!$E37),2,IF(INDEX(Results!$B$2:$AB$282,MATCH(DummyStandings!M$31&amp;DummyStandings!$E37,Results!$K$2:$K$282,0),11)=DummyStandings!$E37,1,IF(INDEX(Results!$B$2:$AB$282,MATCH(DummyStandings!$E37&amp;DummyStandings!M$31,Results!$K$2:$K$282,0),11)=DummyStandings!$E37,1,0))))</f>
        <v>1</v>
      </c>
      <c r="N37" s="35">
        <f>IF(N$31=$E37,0,INDEX(Results!$B$2:$O$282,MATCH(DummyStandings!$E37&amp;DummyStandings!N$31,Results!$K$2:$K$282,0),3)-INDEX(Results!$B$2:$O$282,MATCH(DummyStandings!$E37&amp;DummyStandings!N$31,Results!$K$2:$K$282,0),4))</f>
        <v>-6</v>
      </c>
      <c r="O37" s="137">
        <f t="shared" si="84"/>
        <v>0</v>
      </c>
      <c r="P37" s="34">
        <f>IF(P$31=$E37,0,IF(AND(INDEX(Results!$B$2:$AB$282,MATCH(DummyStandings!P$31&amp;DummyStandings!$E37,Results!$K$2:$K$282,0),11)=DummyStandings!$E37,INDEX(Results!$B$2:$AB$282,MATCH(DummyStandings!$E37&amp;DummyStandings!P$31,Results!$K$2:$K$282,0),11)=DummyStandings!$E37),2,IF(INDEX(Results!$B$2:$AB$282,MATCH(DummyStandings!P$31&amp;DummyStandings!$E37,Results!$K$2:$K$282,0),11)=DummyStandings!$E37,1,IF(INDEX(Results!$B$2:$AB$282,MATCH(DummyStandings!$E37&amp;DummyStandings!P$31,Results!$K$2:$K$282,0),11)=DummyStandings!$E37,1,0))))</f>
        <v>2</v>
      </c>
      <c r="Q37" s="35">
        <f>IF(Q$31=$E37,0,INDEX(Results!$B$2:$O$282,MATCH(DummyStandings!$E37&amp;DummyStandings!Q$31,Results!$K$2:$K$282,0),3)-INDEX(Results!$B$2:$O$282,MATCH(DummyStandings!$E37&amp;DummyStandings!Q$31,Results!$K$2:$K$282,0),4))</f>
        <v>10</v>
      </c>
      <c r="R37" s="137">
        <f t="shared" si="85"/>
        <v>0</v>
      </c>
      <c r="S37" s="34">
        <f>IF(S$31=$E37,0,IF(AND(INDEX(Results!$B$2:$AB$282,MATCH(DummyStandings!S$31&amp;DummyStandings!$E37,Results!$K$2:$K$282,0),11)=DummyStandings!$E37,INDEX(Results!$B$2:$AB$282,MATCH(DummyStandings!$E37&amp;DummyStandings!S$31,Results!$K$2:$K$282,0),11)=DummyStandings!$E37),2,IF(INDEX(Results!$B$2:$AB$282,MATCH(DummyStandings!S$31&amp;DummyStandings!$E37,Results!$K$2:$K$282,0),11)=DummyStandings!$E37,1,IF(INDEX(Results!$B$2:$AB$282,MATCH(DummyStandings!$E37&amp;DummyStandings!S$31,Results!$K$2:$K$282,0),11)=DummyStandings!$E37,1,0))))</f>
        <v>0</v>
      </c>
      <c r="T37" s="35">
        <f>IF(T$31=$E37,0,INDEX(Results!$B$2:$O$282,MATCH(DummyStandings!$E37&amp;DummyStandings!T$31,Results!$K$2:$K$282,0),3)-INDEX(Results!$B$2:$O$282,MATCH(DummyStandings!$E37&amp;DummyStandings!T$31,Results!$K$2:$K$282,0),4))</f>
        <v>-11</v>
      </c>
      <c r="U37" s="137">
        <f t="shared" si="86"/>
        <v>0</v>
      </c>
      <c r="V37" s="34">
        <f>IF(V$31=$E37,0,IF(AND(INDEX(Results!$B$2:$AB$282,MATCH(DummyStandings!V$31&amp;DummyStandings!$E37,Results!$K$2:$K$282,0),11)=DummyStandings!$E37,INDEX(Results!$B$2:$AB$282,MATCH(DummyStandings!$E37&amp;DummyStandings!V$31,Results!$K$2:$K$282,0),11)=DummyStandings!$E37),2,IF(INDEX(Results!$B$2:$AB$282,MATCH(DummyStandings!V$31&amp;DummyStandings!$E37,Results!$K$2:$K$282,0),11)=DummyStandings!$E37,1,IF(INDEX(Results!$B$2:$AB$282,MATCH(DummyStandings!$E37&amp;DummyStandings!V$31,Results!$K$2:$K$282,0),11)=DummyStandings!$E37,1,0))))</f>
        <v>0</v>
      </c>
      <c r="W37" s="35">
        <f>IF(W$31=$E37,0,INDEX(Results!$B$2:$O$282,MATCH(DummyStandings!$E37&amp;DummyStandings!W$31,Results!$K$2:$K$282,0),3)-INDEX(Results!$B$2:$O$282,MATCH(DummyStandings!$E37&amp;DummyStandings!W$31,Results!$K$2:$K$282,0),4))</f>
        <v>0</v>
      </c>
      <c r="X37" s="137">
        <f t="shared" si="87"/>
        <v>0</v>
      </c>
      <c r="Y37" s="34">
        <f>IF(Y$31=$E37,0,IF(AND(INDEX(Results!$B$2:$AB$282,MATCH(DummyStandings!Y$31&amp;DummyStandings!$E37,Results!$K$2:$K$282,0),11)=DummyStandings!$E37,INDEX(Results!$B$2:$AB$282,MATCH(DummyStandings!$E37&amp;DummyStandings!Y$31,Results!$K$2:$K$282,0),11)=DummyStandings!$E37),2,IF(INDEX(Results!$B$2:$AB$282,MATCH(DummyStandings!Y$31&amp;DummyStandings!$E37,Results!$K$2:$K$282,0),11)=DummyStandings!$E37,1,IF(INDEX(Results!$B$2:$AB$282,MATCH(DummyStandings!$E37&amp;DummyStandings!Y$31,Results!$K$2:$K$282,0),11)=DummyStandings!$E37,1,0))))</f>
        <v>2</v>
      </c>
      <c r="Z37" s="35">
        <f>IF(Z$31=$E37,0,INDEX(Results!$B$2:$O$282,MATCH(DummyStandings!$E37&amp;DummyStandings!Z$31,Results!$K$2:$K$282,0),3)-INDEX(Results!$B$2:$O$282,MATCH(DummyStandings!$E37&amp;DummyStandings!Z$31,Results!$K$2:$K$282,0),4))</f>
        <v>10</v>
      </c>
      <c r="AA37" s="137">
        <f t="shared" si="88"/>
        <v>0</v>
      </c>
      <c r="AB37" s="34">
        <f>IF(AB$31=$E37,0,IF(AND(INDEX(Results!$B$2:$AB$282,MATCH(DummyStandings!AB$31&amp;DummyStandings!$E37,Results!$K$2:$K$282,0),11)=DummyStandings!$E37,INDEX(Results!$B$2:$AB$282,MATCH(DummyStandings!$E37&amp;DummyStandings!AB$31,Results!$K$2:$K$282,0),11)=DummyStandings!$E37),2,IF(INDEX(Results!$B$2:$AB$282,MATCH(DummyStandings!AB$31&amp;DummyStandings!$E37,Results!$K$2:$K$282,0),11)=DummyStandings!$E37,1,IF(INDEX(Results!$B$2:$AB$282,MATCH(DummyStandings!$E37&amp;DummyStandings!AB$31,Results!$K$2:$K$282,0),11)=DummyStandings!$E37,1,0))))</f>
        <v>1</v>
      </c>
      <c r="AC37" s="35">
        <f>IF(AC$31=$E37,0,INDEX(Results!$B$2:$O$282,MATCH(DummyStandings!$E37&amp;DummyStandings!AC$31,Results!$K$2:$K$282,0),3)-INDEX(Results!$B$2:$O$282,MATCH(DummyStandings!$E37&amp;DummyStandings!AC$31,Results!$K$2:$K$282,0),4))</f>
        <v>-6</v>
      </c>
      <c r="AD37" s="132">
        <f t="shared" si="98"/>
        <v>0</v>
      </c>
      <c r="AE37" s="137">
        <f t="shared" si="98"/>
        <v>0</v>
      </c>
      <c r="AF37" s="137">
        <f t="shared" si="89"/>
        <v>11</v>
      </c>
      <c r="AG37" s="132">
        <f t="shared" si="19"/>
        <v>0</v>
      </c>
      <c r="AH37" s="34">
        <f t="shared" si="90"/>
        <v>0</v>
      </c>
      <c r="AI37" s="137">
        <f t="shared" si="91"/>
        <v>2</v>
      </c>
      <c r="AJ37" s="137">
        <f t="shared" si="92"/>
        <v>0</v>
      </c>
      <c r="AK37" s="137">
        <f t="shared" si="93"/>
        <v>0</v>
      </c>
      <c r="AL37" s="132">
        <f t="shared" si="20"/>
        <v>0</v>
      </c>
      <c r="AM37" s="34">
        <f t="shared" si="21"/>
        <v>14</v>
      </c>
      <c r="AN37" s="34">
        <f t="shared" si="22"/>
        <v>10</v>
      </c>
      <c r="AO37" s="34">
        <f t="shared" si="23"/>
        <v>4</v>
      </c>
      <c r="AP37" s="34">
        <f t="shared" si="24"/>
        <v>251</v>
      </c>
      <c r="AQ37" s="34">
        <f t="shared" si="25"/>
        <v>131</v>
      </c>
      <c r="AR37" s="34">
        <f t="shared" si="26"/>
        <v>120</v>
      </c>
      <c r="AS37" s="137">
        <f t="shared" si="27"/>
        <v>7</v>
      </c>
      <c r="AT37" s="34">
        <f>SUMPRODUCT((Results!$C$3:$C$282=DummyStandings!$C37)*(Results!$D$3:$D$282&gt;Results!$E$3:$E$282))</f>
        <v>4</v>
      </c>
      <c r="AU37" s="34">
        <f>SUMPRODUCT((Results!$C$3:$C$282=DummyStandings!$C37)*(Results!$D$3:$D$282&lt;Results!$E$3:$E$282))</f>
        <v>3</v>
      </c>
      <c r="AV37" s="34">
        <f>SUMIF(Results!$C$3:$C$282,$C37,Results!$D$3:$D$282)</f>
        <v>103</v>
      </c>
      <c r="AW37" s="34">
        <f>SUMIF(Results!$C$3:$C$282,$C37,Results!$E$3:$E$282)</f>
        <v>75</v>
      </c>
      <c r="AX37" s="34">
        <f t="shared" si="28"/>
        <v>28</v>
      </c>
      <c r="AY37" s="137">
        <f t="shared" si="29"/>
        <v>7</v>
      </c>
      <c r="AZ37" s="34">
        <f>SUMPRODUCT((Results!$F$3:$F$282=DummyStandings!$C37)*(Results!$E$3:$E$282&gt;Results!$D$3:$D$282))</f>
        <v>6</v>
      </c>
      <c r="BA37" s="34">
        <f>SUMPRODUCT((Results!$F$3:$F$282=DummyStandings!$C37)*(Results!$E$3:$E$282&lt;Results!$D$3:$D$282))</f>
        <v>1</v>
      </c>
      <c r="BB37" s="34">
        <f>SUMIF(Results!$F$3:$F$282,$C37,Results!$E$3:$E$282)</f>
        <v>148</v>
      </c>
      <c r="BC37" s="34">
        <f>SUMIF(Results!$F$3:$F$282,$C37,Results!$D$3:$D$282)</f>
        <v>56</v>
      </c>
      <c r="BD37" s="35">
        <f t="shared" si="30"/>
        <v>92</v>
      </c>
      <c r="BE37" s="34">
        <f>INDEX(Teams!$B$5:$H$45,MATCH(DummyStandings!E37,Teams!$G$5:$G$45,0),7)</f>
        <v>10</v>
      </c>
      <c r="BF37" s="272">
        <f t="shared" si="40"/>
        <v>0.7714285714285714</v>
      </c>
      <c r="BG37" s="275">
        <f t="shared" si="31"/>
        <v>0.3057142857142857</v>
      </c>
      <c r="BH37" s="275">
        <f t="shared" si="41"/>
        <v>0.6161904761904761</v>
      </c>
      <c r="BI37" s="34">
        <v>1</v>
      </c>
      <c r="BJ37" s="132">
        <f t="shared" si="32"/>
        <v>8</v>
      </c>
      <c r="BK37" s="35">
        <f t="shared" si="33"/>
        <v>0</v>
      </c>
      <c r="BL37" s="35">
        <f t="shared" si="34"/>
        <v>0</v>
      </c>
      <c r="BM37" s="35">
        <f t="shared" si="35"/>
        <v>0</v>
      </c>
      <c r="BN37" s="35">
        <f t="shared" si="36"/>
        <v>0</v>
      </c>
      <c r="BO37" s="35">
        <f t="shared" si="37"/>
        <v>0</v>
      </c>
      <c r="BP37" s="137">
        <f t="shared" si="38"/>
        <v>0</v>
      </c>
      <c r="BQ37" s="132">
        <f t="shared" si="94"/>
        <v>9</v>
      </c>
      <c r="BR37" s="137">
        <f t="shared" si="95"/>
        <v>4</v>
      </c>
      <c r="BS37" s="132">
        <f t="shared" si="96"/>
        <v>2</v>
      </c>
      <c r="BT37" s="35">
        <f t="shared" si="39"/>
        <v>13</v>
      </c>
    </row>
    <row r="38" spans="2:72" ht="12.75">
      <c r="B38" s="132">
        <f t="shared" si="97"/>
        <v>38</v>
      </c>
      <c r="C38" s="161" t="str">
        <f>Teams!B36</f>
        <v>The Academy of Space</v>
      </c>
      <c r="D38" s="137" t="str">
        <f>INDEX(Teams!$B$5:$F$45,MATCH(DummyStandings!$C38,Teams!$B$5:$B$45,0),COLUMN()+1)</f>
        <v>Sequoia</v>
      </c>
      <c r="E38" s="165" t="str">
        <f>INDEX(Teams!$B$5:$H$45,MATCH(DummyStandings!$C38,Teams!$B$5:$B$45,0),6)</f>
        <v>ACSP</v>
      </c>
      <c r="F38" s="137">
        <f t="shared" si="81"/>
        <v>0</v>
      </c>
      <c r="G38" s="34">
        <f>IF(G$31=$E38,0,IF(AND(INDEX(Results!$B$2:$AB$282,MATCH(DummyStandings!G$31&amp;DummyStandings!$E38,Results!$K$2:$K$282,0),11)=DummyStandings!$E38,INDEX(Results!$B$2:$AB$282,MATCH(DummyStandings!$E38&amp;DummyStandings!G$31,Results!$K$2:$K$282,0),11)=DummyStandings!$E38),2,IF(INDEX(Results!$B$2:$AB$282,MATCH(DummyStandings!G$31&amp;DummyStandings!$E38,Results!$K$2:$K$282,0),11)=DummyStandings!$E38,1,IF(INDEX(Results!$B$2:$AB$282,MATCH(DummyStandings!$E38&amp;DummyStandings!G$31,Results!$K$2:$K$282,0),11)=DummyStandings!$E38,1,0))))</f>
        <v>1</v>
      </c>
      <c r="H38" s="35">
        <f>IF(H$31=$E38,0,INDEX(Results!$B$2:$O$282,MATCH(DummyStandings!$E38&amp;DummyStandings!H$31,Results!$K$2:$K$282,0),3)-INDEX(Results!$B$2:$O$282,MATCH(DummyStandings!$E38&amp;DummyStandings!H$31,Results!$K$2:$K$282,0),4))</f>
        <v>3</v>
      </c>
      <c r="I38" s="137">
        <f t="shared" si="82"/>
        <v>0</v>
      </c>
      <c r="J38" s="34">
        <f>IF(J$31=$E38,0,IF(AND(INDEX(Results!$B$2:$AB$282,MATCH(DummyStandings!J$31&amp;DummyStandings!$E38,Results!$K$2:$K$282,0),11)=DummyStandings!$E38,INDEX(Results!$B$2:$AB$282,MATCH(DummyStandings!$E38&amp;DummyStandings!J$31,Results!$K$2:$K$282,0),11)=DummyStandings!$E38),2,IF(INDEX(Results!$B$2:$AB$282,MATCH(DummyStandings!J$31&amp;DummyStandings!$E38,Results!$K$2:$K$282,0),11)=DummyStandings!$E38,1,IF(INDEX(Results!$B$2:$AB$282,MATCH(DummyStandings!$E38&amp;DummyStandings!J$31,Results!$K$2:$K$282,0),11)=DummyStandings!$E38,1,0))))</f>
        <v>0</v>
      </c>
      <c r="K38" s="35">
        <f>IF(K$31=$E38,0,INDEX(Results!$B$2:$O$282,MATCH(DummyStandings!$E38&amp;DummyStandings!K$31,Results!$K$2:$K$282,0),3)-INDEX(Results!$B$2:$O$282,MATCH(DummyStandings!$E38&amp;DummyStandings!K$31,Results!$K$2:$K$282,0),4))</f>
        <v>-16</v>
      </c>
      <c r="L38" s="137">
        <f t="shared" si="83"/>
        <v>0</v>
      </c>
      <c r="M38" s="34">
        <f>IF(M$31=$E38,0,IF(AND(INDEX(Results!$B$2:$AB$282,MATCH(DummyStandings!M$31&amp;DummyStandings!$E38,Results!$K$2:$K$282,0),11)=DummyStandings!$E38,INDEX(Results!$B$2:$AB$282,MATCH(DummyStandings!$E38&amp;DummyStandings!M$31,Results!$K$2:$K$282,0),11)=DummyStandings!$E38),2,IF(INDEX(Results!$B$2:$AB$282,MATCH(DummyStandings!M$31&amp;DummyStandings!$E38,Results!$K$2:$K$282,0),11)=DummyStandings!$E38,1,IF(INDEX(Results!$B$2:$AB$282,MATCH(DummyStandings!$E38&amp;DummyStandings!M$31,Results!$K$2:$K$282,0),11)=DummyStandings!$E38,1,0))))</f>
        <v>0</v>
      </c>
      <c r="N38" s="35">
        <f>IF(N$31=$E38,0,INDEX(Results!$B$2:$O$282,MATCH(DummyStandings!$E38&amp;DummyStandings!N$31,Results!$K$2:$K$282,0),3)-INDEX(Results!$B$2:$O$282,MATCH(DummyStandings!$E38&amp;DummyStandings!N$31,Results!$K$2:$K$282,0),4))</f>
        <v>-11</v>
      </c>
      <c r="O38" s="137">
        <f t="shared" si="84"/>
        <v>0</v>
      </c>
      <c r="P38" s="34">
        <f>IF(P$31=$E38,0,IF(AND(INDEX(Results!$B$2:$AB$282,MATCH(DummyStandings!P$31&amp;DummyStandings!$E38,Results!$K$2:$K$282,0),11)=DummyStandings!$E38,INDEX(Results!$B$2:$AB$282,MATCH(DummyStandings!$E38&amp;DummyStandings!P$31,Results!$K$2:$K$282,0),11)=DummyStandings!$E38),2,IF(INDEX(Results!$B$2:$AB$282,MATCH(DummyStandings!P$31&amp;DummyStandings!$E38,Results!$K$2:$K$282,0),11)=DummyStandings!$E38,1,IF(INDEX(Results!$B$2:$AB$282,MATCH(DummyStandings!$E38&amp;DummyStandings!P$31,Results!$K$2:$K$282,0),11)=DummyStandings!$E38,1,0))))</f>
        <v>1</v>
      </c>
      <c r="Q38" s="35">
        <f>IF(Q$31=$E38,0,INDEX(Results!$B$2:$O$282,MATCH(DummyStandings!$E38&amp;DummyStandings!Q$31,Results!$K$2:$K$282,0),3)-INDEX(Results!$B$2:$O$282,MATCH(DummyStandings!$E38&amp;DummyStandings!Q$31,Results!$K$2:$K$282,0),4))</f>
        <v>-13</v>
      </c>
      <c r="R38" s="137">
        <f t="shared" si="85"/>
        <v>0</v>
      </c>
      <c r="S38" s="34">
        <f>IF(S$31=$E38,0,IF(AND(INDEX(Results!$B$2:$AB$282,MATCH(DummyStandings!S$31&amp;DummyStandings!$E38,Results!$K$2:$K$282,0),11)=DummyStandings!$E38,INDEX(Results!$B$2:$AB$282,MATCH(DummyStandings!$E38&amp;DummyStandings!S$31,Results!$K$2:$K$282,0),11)=DummyStandings!$E38),2,IF(INDEX(Results!$B$2:$AB$282,MATCH(DummyStandings!S$31&amp;DummyStandings!$E38,Results!$K$2:$K$282,0),11)=DummyStandings!$E38,1,IF(INDEX(Results!$B$2:$AB$282,MATCH(DummyStandings!$E38&amp;DummyStandings!S$31,Results!$K$2:$K$282,0),11)=DummyStandings!$E38,1,0))))</f>
        <v>0</v>
      </c>
      <c r="T38" s="35">
        <f>IF(T$31=$E38,0,INDEX(Results!$B$2:$O$282,MATCH(DummyStandings!$E38&amp;DummyStandings!T$31,Results!$K$2:$K$282,0),3)-INDEX(Results!$B$2:$O$282,MATCH(DummyStandings!$E38&amp;DummyStandings!T$31,Results!$K$2:$K$282,0),4))</f>
        <v>-22</v>
      </c>
      <c r="U38" s="137">
        <f t="shared" si="86"/>
        <v>0</v>
      </c>
      <c r="V38" s="34">
        <f>IF(V$31=$E38,0,IF(AND(INDEX(Results!$B$2:$AB$282,MATCH(DummyStandings!V$31&amp;DummyStandings!$E38,Results!$K$2:$K$282,0),11)=DummyStandings!$E38,INDEX(Results!$B$2:$AB$282,MATCH(DummyStandings!$E38&amp;DummyStandings!V$31,Results!$K$2:$K$282,0),11)=DummyStandings!$E38),2,IF(INDEX(Results!$B$2:$AB$282,MATCH(DummyStandings!V$31&amp;DummyStandings!$E38,Results!$K$2:$K$282,0),11)=DummyStandings!$E38,1,IF(INDEX(Results!$B$2:$AB$282,MATCH(DummyStandings!$E38&amp;DummyStandings!V$31,Results!$K$2:$K$282,0),11)=DummyStandings!$E38,1,0))))</f>
        <v>0</v>
      </c>
      <c r="W38" s="35">
        <f>IF(W$31=$E38,0,INDEX(Results!$B$2:$O$282,MATCH(DummyStandings!$E38&amp;DummyStandings!W$31,Results!$K$2:$K$282,0),3)-INDEX(Results!$B$2:$O$282,MATCH(DummyStandings!$E38&amp;DummyStandings!W$31,Results!$K$2:$K$282,0),4))</f>
        <v>-24</v>
      </c>
      <c r="X38" s="137">
        <f t="shared" si="87"/>
        <v>0</v>
      </c>
      <c r="Y38" s="34">
        <f>IF(Y$31=$E38,0,IF(AND(INDEX(Results!$B$2:$AB$282,MATCH(DummyStandings!Y$31&amp;DummyStandings!$E38,Results!$K$2:$K$282,0),11)=DummyStandings!$E38,INDEX(Results!$B$2:$AB$282,MATCH(DummyStandings!$E38&amp;DummyStandings!Y$31,Results!$K$2:$K$282,0),11)=DummyStandings!$E38),2,IF(INDEX(Results!$B$2:$AB$282,MATCH(DummyStandings!Y$31&amp;DummyStandings!$E38,Results!$K$2:$K$282,0),11)=DummyStandings!$E38,1,IF(INDEX(Results!$B$2:$AB$282,MATCH(DummyStandings!$E38&amp;DummyStandings!Y$31,Results!$K$2:$K$282,0),11)=DummyStandings!$E38,1,0))))</f>
        <v>0</v>
      </c>
      <c r="Z38" s="35">
        <f>IF(Z$31=$E38,0,INDEX(Results!$B$2:$O$282,MATCH(DummyStandings!$E38&amp;DummyStandings!Z$31,Results!$K$2:$K$282,0),3)-INDEX(Results!$B$2:$O$282,MATCH(DummyStandings!$E38&amp;DummyStandings!Z$31,Results!$K$2:$K$282,0),4))</f>
        <v>0</v>
      </c>
      <c r="AA38" s="137">
        <f t="shared" si="88"/>
        <v>0</v>
      </c>
      <c r="AB38" s="34">
        <f>IF(AB$31=$E38,0,IF(AND(INDEX(Results!$B$2:$AB$282,MATCH(DummyStandings!AB$31&amp;DummyStandings!$E38,Results!$K$2:$K$282,0),11)=DummyStandings!$E38,INDEX(Results!$B$2:$AB$282,MATCH(DummyStandings!$E38&amp;DummyStandings!AB$31,Results!$K$2:$K$282,0),11)=DummyStandings!$E38),2,IF(INDEX(Results!$B$2:$AB$282,MATCH(DummyStandings!AB$31&amp;DummyStandings!$E38,Results!$K$2:$K$282,0),11)=DummyStandings!$E38,1,IF(INDEX(Results!$B$2:$AB$282,MATCH(DummyStandings!$E38&amp;DummyStandings!AB$31,Results!$K$2:$K$282,0),11)=DummyStandings!$E38,1,0))))</f>
        <v>0</v>
      </c>
      <c r="AC38" s="35">
        <f>IF(AC$31=$E38,0,INDEX(Results!$B$2:$O$282,MATCH(DummyStandings!$E38&amp;DummyStandings!AC$31,Results!$K$2:$K$282,0),3)-INDEX(Results!$B$2:$O$282,MATCH(DummyStandings!$E38&amp;DummyStandings!AC$31,Results!$K$2:$K$282,0),4))</f>
        <v>-7</v>
      </c>
      <c r="AD38" s="132">
        <f t="shared" si="98"/>
        <v>0</v>
      </c>
      <c r="AE38" s="137">
        <f t="shared" si="98"/>
        <v>0</v>
      </c>
      <c r="AF38" s="137">
        <f t="shared" si="89"/>
        <v>38</v>
      </c>
      <c r="AG38" s="132">
        <f t="shared" si="19"/>
        <v>0</v>
      </c>
      <c r="AH38" s="34">
        <f t="shared" si="90"/>
        <v>0</v>
      </c>
      <c r="AI38" s="137">
        <f t="shared" si="91"/>
        <v>0</v>
      </c>
      <c r="AJ38" s="137">
        <f t="shared" si="92"/>
        <v>0</v>
      </c>
      <c r="AK38" s="137">
        <f t="shared" si="93"/>
        <v>0</v>
      </c>
      <c r="AL38" s="132">
        <f t="shared" si="20"/>
        <v>0</v>
      </c>
      <c r="AM38" s="34">
        <f t="shared" si="21"/>
        <v>14</v>
      </c>
      <c r="AN38" s="34">
        <f t="shared" si="22"/>
        <v>2</v>
      </c>
      <c r="AO38" s="34">
        <f t="shared" si="23"/>
        <v>12</v>
      </c>
      <c r="AP38" s="34">
        <f t="shared" si="24"/>
        <v>93</v>
      </c>
      <c r="AQ38" s="34">
        <f t="shared" si="25"/>
        <v>279</v>
      </c>
      <c r="AR38" s="34">
        <f t="shared" si="26"/>
        <v>-186</v>
      </c>
      <c r="AS38" s="137">
        <f t="shared" si="27"/>
        <v>7</v>
      </c>
      <c r="AT38" s="34">
        <f>SUMPRODUCT((Results!$C$3:$C$282=DummyStandings!$C38)*(Results!$D$3:$D$282&gt;Results!$E$3:$E$282))</f>
        <v>1</v>
      </c>
      <c r="AU38" s="34">
        <f>SUMPRODUCT((Results!$C$3:$C$282=DummyStandings!$C38)*(Results!$D$3:$D$282&lt;Results!$E$3:$E$282))</f>
        <v>6</v>
      </c>
      <c r="AV38" s="34">
        <f>SUMIF(Results!$C$3:$C$282,$C38,Results!$D$3:$D$282)</f>
        <v>39</v>
      </c>
      <c r="AW38" s="34">
        <f>SUMIF(Results!$C$3:$C$282,$C38,Results!$E$3:$E$282)</f>
        <v>129</v>
      </c>
      <c r="AX38" s="34">
        <f t="shared" si="28"/>
        <v>-90</v>
      </c>
      <c r="AY38" s="137">
        <f t="shared" si="29"/>
        <v>7</v>
      </c>
      <c r="AZ38" s="34">
        <f>SUMPRODUCT((Results!$F$3:$F$282=DummyStandings!$C38)*(Results!$E$3:$E$282&gt;Results!$D$3:$D$282))</f>
        <v>1</v>
      </c>
      <c r="BA38" s="34">
        <f>SUMPRODUCT((Results!$F$3:$F$282=DummyStandings!$C38)*(Results!$E$3:$E$282&lt;Results!$D$3:$D$282))</f>
        <v>6</v>
      </c>
      <c r="BB38" s="34">
        <f>SUMIF(Results!$F$3:$F$282,$C38,Results!$E$3:$E$282)</f>
        <v>54</v>
      </c>
      <c r="BC38" s="34">
        <f>SUMIF(Results!$F$3:$F$282,$C38,Results!$D$3:$D$282)</f>
        <v>150</v>
      </c>
      <c r="BD38" s="35">
        <f t="shared" si="30"/>
        <v>-96</v>
      </c>
      <c r="BE38" s="34">
        <f>INDEX(Teams!$B$5:$H$45,MATCH(DummyStandings!E38,Teams!$G$5:$G$45,0),7)</f>
        <v>29</v>
      </c>
      <c r="BF38" s="272">
        <f t="shared" si="40"/>
        <v>0.14285714285714285</v>
      </c>
      <c r="BG38" s="275">
        <f t="shared" si="31"/>
        <v>0.3685714285714285</v>
      </c>
      <c r="BH38" s="275">
        <f t="shared" si="41"/>
        <v>0.21809523809523804</v>
      </c>
      <c r="BI38" s="34">
        <v>1</v>
      </c>
      <c r="BJ38" s="132">
        <f t="shared" si="32"/>
        <v>37</v>
      </c>
      <c r="BK38" s="35">
        <f t="shared" si="33"/>
        <v>0</v>
      </c>
      <c r="BL38" s="35">
        <f t="shared" si="34"/>
        <v>0</v>
      </c>
      <c r="BM38" s="35">
        <f t="shared" si="35"/>
        <v>0</v>
      </c>
      <c r="BN38" s="35">
        <f t="shared" si="36"/>
        <v>0</v>
      </c>
      <c r="BO38" s="35">
        <f t="shared" si="37"/>
        <v>0</v>
      </c>
      <c r="BP38" s="137">
        <f t="shared" si="38"/>
        <v>0</v>
      </c>
      <c r="BQ38" s="132">
        <f t="shared" si="94"/>
        <v>38</v>
      </c>
      <c r="BR38" s="137">
        <f t="shared" si="95"/>
        <v>0</v>
      </c>
      <c r="BS38" s="132">
        <f t="shared" si="96"/>
        <v>0</v>
      </c>
      <c r="BT38" s="35">
        <f t="shared" si="39"/>
        <v>38</v>
      </c>
    </row>
    <row r="39" spans="2:72" ht="13.5" thickBot="1">
      <c r="B39" s="132">
        <f t="shared" si="97"/>
        <v>4</v>
      </c>
      <c r="C39" s="163" t="str">
        <f>Teams!B37</f>
        <v>University of Alzburg-Dyka</v>
      </c>
      <c r="D39" s="36" t="str">
        <f>INDEX(Teams!$B$5:$F$45,MATCH(DummyStandings!$C39,Teams!$B$5:$B$45,0),COLUMN()+1)</f>
        <v>Sequoia</v>
      </c>
      <c r="E39" s="209" t="str">
        <f>INDEX(Teams!$B$5:$H$45,MATCH(DummyStandings!$C39,Teams!$B$5:$B$45,0),6)</f>
        <v>ALZD</v>
      </c>
      <c r="F39" s="36">
        <f t="shared" si="81"/>
        <v>0</v>
      </c>
      <c r="G39" s="37">
        <f>IF(G$31=$E39,0,IF(AND(INDEX(Results!$B$2:$AB$282,MATCH(DummyStandings!G$31&amp;DummyStandings!$E39,Results!$K$2:$K$282,0),11)=DummyStandings!$E39,INDEX(Results!$B$2:$AB$282,MATCH(DummyStandings!$E39&amp;DummyStandings!G$31,Results!$K$2:$K$282,0),11)=DummyStandings!$E39),2,IF(INDEX(Results!$B$2:$AB$282,MATCH(DummyStandings!G$31&amp;DummyStandings!$E39,Results!$K$2:$K$282,0),11)=DummyStandings!$E39,1,IF(INDEX(Results!$B$2:$AB$282,MATCH(DummyStandings!$E39&amp;DummyStandings!G$31,Results!$K$2:$K$282,0),11)=DummyStandings!$E39,1,0))))</f>
        <v>2</v>
      </c>
      <c r="H39" s="44">
        <f>IF(H$31=$E39,0,INDEX(Results!$B$2:$O$282,MATCH(DummyStandings!$E39&amp;DummyStandings!H$31,Results!$K$2:$K$282,0),3)-INDEX(Results!$B$2:$O$282,MATCH(DummyStandings!$E39&amp;DummyStandings!H$31,Results!$K$2:$K$282,0),4))</f>
        <v>14</v>
      </c>
      <c r="I39" s="36">
        <f t="shared" si="82"/>
        <v>0</v>
      </c>
      <c r="J39" s="37">
        <f>IF(J$31=$E39,0,IF(AND(INDEX(Results!$B$2:$AB$282,MATCH(DummyStandings!J$31&amp;DummyStandings!$E39,Results!$K$2:$K$282,0),11)=DummyStandings!$E39,INDEX(Results!$B$2:$AB$282,MATCH(DummyStandings!$E39&amp;DummyStandings!J$31,Results!$K$2:$K$282,0),11)=DummyStandings!$E39),2,IF(INDEX(Results!$B$2:$AB$282,MATCH(DummyStandings!J$31&amp;DummyStandings!$E39,Results!$K$2:$K$282,0),11)=DummyStandings!$E39,1,IF(INDEX(Results!$B$2:$AB$282,MATCH(DummyStandings!$E39&amp;DummyStandings!J$31,Results!$K$2:$K$282,0),11)=DummyStandings!$E39,1,0))))</f>
        <v>2</v>
      </c>
      <c r="K39" s="44">
        <f>IF(K$31=$E39,0,INDEX(Results!$B$2:$O$282,MATCH(DummyStandings!$E39&amp;DummyStandings!K$31,Results!$K$2:$K$282,0),3)-INDEX(Results!$B$2:$O$282,MATCH(DummyStandings!$E39&amp;DummyStandings!K$31,Results!$K$2:$K$282,0),4))</f>
        <v>9</v>
      </c>
      <c r="L39" s="36">
        <f t="shared" si="83"/>
        <v>0</v>
      </c>
      <c r="M39" s="37">
        <f>IF(M$31=$E39,0,IF(AND(INDEX(Results!$B$2:$AB$282,MATCH(DummyStandings!M$31&amp;DummyStandings!$E39,Results!$K$2:$K$282,0),11)=DummyStandings!$E39,INDEX(Results!$B$2:$AB$282,MATCH(DummyStandings!$E39&amp;DummyStandings!M$31,Results!$K$2:$K$282,0),11)=DummyStandings!$E39),2,IF(INDEX(Results!$B$2:$AB$282,MATCH(DummyStandings!M$31&amp;DummyStandings!$E39,Results!$K$2:$K$282,0),11)=DummyStandings!$E39,1,IF(INDEX(Results!$B$2:$AB$282,MATCH(DummyStandings!$E39&amp;DummyStandings!M$31,Results!$K$2:$K$282,0),11)=DummyStandings!$E39,1,0))))</f>
        <v>2</v>
      </c>
      <c r="N39" s="44">
        <f>IF(N$31=$E39,0,INDEX(Results!$B$2:$O$282,MATCH(DummyStandings!$E39&amp;DummyStandings!N$31,Results!$K$2:$K$282,0),3)-INDEX(Results!$B$2:$O$282,MATCH(DummyStandings!$E39&amp;DummyStandings!N$31,Results!$K$2:$K$282,0),4))</f>
        <v>29</v>
      </c>
      <c r="O39" s="36">
        <f t="shared" si="84"/>
        <v>0</v>
      </c>
      <c r="P39" s="37">
        <f>IF(P$31=$E39,0,IF(AND(INDEX(Results!$B$2:$AB$282,MATCH(DummyStandings!P$31&amp;DummyStandings!$E39,Results!$K$2:$K$282,0),11)=DummyStandings!$E39,INDEX(Results!$B$2:$AB$282,MATCH(DummyStandings!$E39&amp;DummyStandings!P$31,Results!$K$2:$K$282,0),11)=DummyStandings!$E39),2,IF(INDEX(Results!$B$2:$AB$282,MATCH(DummyStandings!P$31&amp;DummyStandings!$E39,Results!$K$2:$K$282,0),11)=DummyStandings!$E39,1,IF(INDEX(Results!$B$2:$AB$282,MATCH(DummyStandings!$E39&amp;DummyStandings!P$31,Results!$K$2:$K$282,0),11)=DummyStandings!$E39,1,0))))</f>
        <v>2</v>
      </c>
      <c r="Q39" s="44">
        <f>IF(Q$31=$E39,0,INDEX(Results!$B$2:$O$282,MATCH(DummyStandings!$E39&amp;DummyStandings!Q$31,Results!$K$2:$K$282,0),3)-INDEX(Results!$B$2:$O$282,MATCH(DummyStandings!$E39&amp;DummyStandings!Q$31,Results!$K$2:$K$282,0),4))</f>
        <v>7</v>
      </c>
      <c r="R39" s="36">
        <f t="shared" si="85"/>
        <v>1</v>
      </c>
      <c r="S39" s="37">
        <f>IF(S$31=$E39,0,IF(AND(INDEX(Results!$B$2:$AB$282,MATCH(DummyStandings!S$31&amp;DummyStandings!$E39,Results!$K$2:$K$282,0),11)=DummyStandings!$E39,INDEX(Results!$B$2:$AB$282,MATCH(DummyStandings!$E39&amp;DummyStandings!S$31,Results!$K$2:$K$282,0),11)=DummyStandings!$E39),2,IF(INDEX(Results!$B$2:$AB$282,MATCH(DummyStandings!S$31&amp;DummyStandings!$E39,Results!$K$2:$K$282,0),11)=DummyStandings!$E39,1,IF(INDEX(Results!$B$2:$AB$282,MATCH(DummyStandings!$E39&amp;DummyStandings!S$31,Results!$K$2:$K$282,0),11)=DummyStandings!$E39,1,0))))</f>
        <v>1</v>
      </c>
      <c r="T39" s="44">
        <f>IF(T$31=$E39,0,INDEX(Results!$B$2:$O$282,MATCH(DummyStandings!$E39&amp;DummyStandings!T$31,Results!$K$2:$K$282,0),3)-INDEX(Results!$B$2:$O$282,MATCH(DummyStandings!$E39&amp;DummyStandings!T$31,Results!$K$2:$K$282,0),4))</f>
        <v>-7</v>
      </c>
      <c r="U39" s="36">
        <f t="shared" si="86"/>
        <v>0</v>
      </c>
      <c r="V39" s="37">
        <f>IF(V$31=$E39,0,IF(AND(INDEX(Results!$B$2:$AB$282,MATCH(DummyStandings!V$31&amp;DummyStandings!$E39,Results!$K$2:$K$282,0),11)=DummyStandings!$E39,INDEX(Results!$B$2:$AB$282,MATCH(DummyStandings!$E39&amp;DummyStandings!V$31,Results!$K$2:$K$282,0),11)=DummyStandings!$E39),2,IF(INDEX(Results!$B$2:$AB$282,MATCH(DummyStandings!V$31&amp;DummyStandings!$E39,Results!$K$2:$K$282,0),11)=DummyStandings!$E39,1,IF(INDEX(Results!$B$2:$AB$282,MATCH(DummyStandings!$E39&amp;DummyStandings!V$31,Results!$K$2:$K$282,0),11)=DummyStandings!$E39,1,0))))</f>
        <v>1</v>
      </c>
      <c r="W39" s="44">
        <f>IF(W$31=$E39,0,INDEX(Results!$B$2:$O$282,MATCH(DummyStandings!$E39&amp;DummyStandings!W$31,Results!$K$2:$K$282,0),3)-INDEX(Results!$B$2:$O$282,MATCH(DummyStandings!$E39&amp;DummyStandings!W$31,Results!$K$2:$K$282,0),4))</f>
        <v>-7</v>
      </c>
      <c r="X39" s="36">
        <f t="shared" si="87"/>
        <v>0</v>
      </c>
      <c r="Y39" s="37">
        <f>IF(Y$31=$E39,0,IF(AND(INDEX(Results!$B$2:$AB$282,MATCH(DummyStandings!Y$31&amp;DummyStandings!$E39,Results!$K$2:$K$282,0),11)=DummyStandings!$E39,INDEX(Results!$B$2:$AB$282,MATCH(DummyStandings!$E39&amp;DummyStandings!Y$31,Results!$K$2:$K$282,0),11)=DummyStandings!$E39),2,IF(INDEX(Results!$B$2:$AB$282,MATCH(DummyStandings!Y$31&amp;DummyStandings!$E39,Results!$K$2:$K$282,0),11)=DummyStandings!$E39,1,IF(INDEX(Results!$B$2:$AB$282,MATCH(DummyStandings!$E39&amp;DummyStandings!Y$31,Results!$K$2:$K$282,0),11)=DummyStandings!$E39,1,0))))</f>
        <v>2</v>
      </c>
      <c r="Z39" s="44">
        <f>IF(Z$31=$E39,0,INDEX(Results!$B$2:$O$282,MATCH(DummyStandings!$E39&amp;DummyStandings!Z$31,Results!$K$2:$K$282,0),3)-INDEX(Results!$B$2:$O$282,MATCH(DummyStandings!$E39&amp;DummyStandings!Z$31,Results!$K$2:$K$282,0),4))</f>
        <v>17</v>
      </c>
      <c r="AA39" s="36">
        <f t="shared" si="88"/>
        <v>0</v>
      </c>
      <c r="AB39" s="37">
        <f>IF(AB$31=$E39,0,IF(AND(INDEX(Results!$B$2:$AB$282,MATCH(DummyStandings!AB$31&amp;DummyStandings!$E39,Results!$K$2:$K$282,0),11)=DummyStandings!$E39,INDEX(Results!$B$2:$AB$282,MATCH(DummyStandings!$E39&amp;DummyStandings!AB$31,Results!$K$2:$K$282,0),11)=DummyStandings!$E39),2,IF(INDEX(Results!$B$2:$AB$282,MATCH(DummyStandings!AB$31&amp;DummyStandings!$E39,Results!$K$2:$K$282,0),11)=DummyStandings!$E39,1,IF(INDEX(Results!$B$2:$AB$282,MATCH(DummyStandings!$E39&amp;DummyStandings!AB$31,Results!$K$2:$K$282,0),11)=DummyStandings!$E39,1,0))))</f>
        <v>0</v>
      </c>
      <c r="AC39" s="44">
        <f>IF(AC$31=$E39,0,INDEX(Results!$B$2:$O$282,MATCH(DummyStandings!$E39&amp;DummyStandings!AC$31,Results!$K$2:$K$282,0),3)-INDEX(Results!$B$2:$O$282,MATCH(DummyStandings!$E39&amp;DummyStandings!AC$31,Results!$K$2:$K$282,0),4))</f>
        <v>0</v>
      </c>
      <c r="AD39" s="133">
        <f>($F39*G39)+($I39*J39)+($L39*M39)+($O39*P39)+($R39*S39)+($U39*V39)+($X39*Y39)</f>
        <v>1</v>
      </c>
      <c r="AE39" s="36">
        <f>($F39*H39)+($I39*K39)+($L39*N39)+($O39*Q39)+($R39*T39)+($U39*W39)+($X39*Z39)</f>
        <v>-7</v>
      </c>
      <c r="AF39" s="36">
        <f t="shared" si="89"/>
        <v>4</v>
      </c>
      <c r="AG39" s="132">
        <f t="shared" si="19"/>
        <v>0</v>
      </c>
      <c r="AH39" s="37">
        <f t="shared" si="90"/>
        <v>0</v>
      </c>
      <c r="AI39" s="36">
        <f t="shared" si="91"/>
        <v>0</v>
      </c>
      <c r="AJ39" s="36">
        <f t="shared" si="92"/>
        <v>0</v>
      </c>
      <c r="AK39" s="36">
        <f t="shared" si="93"/>
        <v>0</v>
      </c>
      <c r="AL39" s="133">
        <f t="shared" si="20"/>
        <v>0</v>
      </c>
      <c r="AM39" s="37">
        <f aca="true" t="shared" si="99" ref="AM39:AR39">AS39+AY39</f>
        <v>14</v>
      </c>
      <c r="AN39" s="37">
        <f t="shared" si="99"/>
        <v>12</v>
      </c>
      <c r="AO39" s="37">
        <f t="shared" si="99"/>
        <v>2</v>
      </c>
      <c r="AP39" s="37">
        <f t="shared" si="99"/>
        <v>302</v>
      </c>
      <c r="AQ39" s="37">
        <f t="shared" si="99"/>
        <v>113</v>
      </c>
      <c r="AR39" s="37">
        <f t="shared" si="99"/>
        <v>189</v>
      </c>
      <c r="AS39" s="137">
        <f t="shared" si="27"/>
        <v>7</v>
      </c>
      <c r="AT39" s="34">
        <f>SUMPRODUCT((Results!$C$3:$C$282=DummyStandings!$C39)*(Results!$D$3:$D$282&gt;Results!$E$3:$E$282))</f>
        <v>5</v>
      </c>
      <c r="AU39" s="34">
        <f>SUMPRODUCT((Results!$C$3:$C$282=DummyStandings!$C39)*(Results!$D$3:$D$282&lt;Results!$E$3:$E$282))</f>
        <v>2</v>
      </c>
      <c r="AV39" s="34">
        <f>SUMIF(Results!$C$3:$C$282,$C39,Results!$D$3:$D$282)</f>
        <v>111</v>
      </c>
      <c r="AW39" s="34">
        <f>SUMIF(Results!$C$3:$C$282,$C39,Results!$E$3:$E$282)</f>
        <v>49</v>
      </c>
      <c r="AX39" s="34">
        <f t="shared" si="28"/>
        <v>62</v>
      </c>
      <c r="AY39" s="36">
        <f t="shared" si="29"/>
        <v>7</v>
      </c>
      <c r="AZ39" s="37">
        <f>SUMPRODUCT((Results!$F$3:$F$282=DummyStandings!$C39)*(Results!$E$3:$E$282&gt;Results!$D$3:$D$282))</f>
        <v>7</v>
      </c>
      <c r="BA39" s="37">
        <f>SUMPRODUCT((Results!$F$3:$F$282=DummyStandings!$C39)*(Results!$E$3:$E$282&lt;Results!$D$3:$D$282))</f>
        <v>0</v>
      </c>
      <c r="BB39" s="37">
        <f>SUMIF(Results!$F$3:$F$282,$C39,Results!$E$3:$E$282)</f>
        <v>191</v>
      </c>
      <c r="BC39" s="37">
        <f>SUMIF(Results!$F$3:$F$282,$C39,Results!$D$3:$D$282)</f>
        <v>64</v>
      </c>
      <c r="BD39" s="44">
        <f t="shared" si="30"/>
        <v>127</v>
      </c>
      <c r="BE39" s="37">
        <f>INDEX(Teams!$B$5:$H$45,MATCH(DummyStandings!E39,Teams!$G$5:$G$45,0),7)</f>
        <v>6</v>
      </c>
      <c r="BF39" s="272">
        <f t="shared" si="40"/>
        <v>0.9142857142857143</v>
      </c>
      <c r="BG39" s="275">
        <f t="shared" si="31"/>
        <v>0.2914285714285715</v>
      </c>
      <c r="BH39" s="275">
        <f t="shared" si="41"/>
        <v>0.7066666666666667</v>
      </c>
      <c r="BI39" s="34">
        <v>1</v>
      </c>
      <c r="BJ39" s="132">
        <f t="shared" si="32"/>
        <v>3</v>
      </c>
      <c r="BK39" s="35">
        <f t="shared" si="33"/>
        <v>0</v>
      </c>
      <c r="BL39" s="35">
        <f t="shared" si="34"/>
        <v>0</v>
      </c>
      <c r="BM39" s="35">
        <f t="shared" si="35"/>
        <v>0</v>
      </c>
      <c r="BN39" s="35">
        <f t="shared" si="36"/>
        <v>0</v>
      </c>
      <c r="BO39" s="35">
        <f t="shared" si="37"/>
        <v>0</v>
      </c>
      <c r="BP39" s="137">
        <f t="shared" si="38"/>
        <v>0</v>
      </c>
      <c r="BQ39" s="133">
        <f t="shared" si="94"/>
        <v>4</v>
      </c>
      <c r="BR39" s="36">
        <f t="shared" si="95"/>
        <v>0</v>
      </c>
      <c r="BS39" s="132">
        <f t="shared" si="96"/>
        <v>1</v>
      </c>
      <c r="BT39" s="35">
        <f t="shared" si="39"/>
        <v>5</v>
      </c>
    </row>
    <row r="40" spans="2:72" ht="13.5" thickBot="1">
      <c r="B40" s="139"/>
      <c r="C40" s="162"/>
      <c r="D40" s="138"/>
      <c r="E40" s="166"/>
      <c r="F40" s="130" t="s">
        <v>128</v>
      </c>
      <c r="G40" s="130" t="s">
        <v>128</v>
      </c>
      <c r="H40" s="130" t="s">
        <v>128</v>
      </c>
      <c r="I40" s="130" t="s">
        <v>89</v>
      </c>
      <c r="J40" s="130" t="s">
        <v>89</v>
      </c>
      <c r="K40" s="130" t="s">
        <v>89</v>
      </c>
      <c r="L40" s="130" t="s">
        <v>258</v>
      </c>
      <c r="M40" s="130" t="s">
        <v>258</v>
      </c>
      <c r="N40" s="130" t="s">
        <v>258</v>
      </c>
      <c r="O40" s="130" t="s">
        <v>141</v>
      </c>
      <c r="P40" s="130" t="s">
        <v>141</v>
      </c>
      <c r="Q40" s="130" t="s">
        <v>141</v>
      </c>
      <c r="R40" s="130" t="s">
        <v>42</v>
      </c>
      <c r="S40" s="130" t="s">
        <v>42</v>
      </c>
      <c r="T40" s="130" t="s">
        <v>42</v>
      </c>
      <c r="U40" s="130" t="s">
        <v>126</v>
      </c>
      <c r="V40" s="130" t="s">
        <v>126</v>
      </c>
      <c r="W40" s="130" t="s">
        <v>126</v>
      </c>
      <c r="X40" s="130" t="s">
        <v>43</v>
      </c>
      <c r="Y40" s="130" t="s">
        <v>43</v>
      </c>
      <c r="Z40" s="130" t="s">
        <v>43</v>
      </c>
      <c r="AA40" s="130" t="s">
        <v>135</v>
      </c>
      <c r="AB40" s="130" t="s">
        <v>135</v>
      </c>
      <c r="AC40" s="130" t="s">
        <v>135</v>
      </c>
      <c r="AD40" s="41"/>
      <c r="AE40" s="138"/>
      <c r="AF40" s="138"/>
      <c r="AG40" s="261"/>
      <c r="AH40" s="120"/>
      <c r="AI40" s="138"/>
      <c r="AJ40" s="138"/>
      <c r="AK40" s="138"/>
      <c r="AL40" s="120"/>
      <c r="AM40" s="120"/>
      <c r="AN40" s="120"/>
      <c r="AO40" s="120"/>
      <c r="AP40" s="120"/>
      <c r="AQ40" s="120"/>
      <c r="AR40" s="120"/>
      <c r="AS40" s="38"/>
      <c r="AT40" s="39"/>
      <c r="AU40" s="39"/>
      <c r="AV40" s="39"/>
      <c r="AW40" s="39"/>
      <c r="AX40" s="40"/>
      <c r="AY40" s="269"/>
      <c r="AZ40" s="270"/>
      <c r="BA40" s="270"/>
      <c r="BB40" s="270"/>
      <c r="BC40" s="270"/>
      <c r="BD40" s="271"/>
      <c r="BE40" s="120"/>
      <c r="BF40" s="261"/>
      <c r="BG40" s="268"/>
      <c r="BH40" s="268"/>
      <c r="BI40" s="266"/>
      <c r="BJ40" s="261"/>
      <c r="BK40" s="268"/>
      <c r="BL40" s="268"/>
      <c r="BM40" s="268"/>
      <c r="BN40" s="268"/>
      <c r="BO40" s="268"/>
      <c r="BP40" s="266"/>
      <c r="BQ40" s="266"/>
      <c r="BR40" s="266"/>
      <c r="BS40" s="261"/>
      <c r="BT40" s="267"/>
    </row>
    <row r="41" spans="2:72" ht="12.75">
      <c r="B41" s="131">
        <f>SUM(AF41:AL41)</f>
        <v>19</v>
      </c>
      <c r="C41" s="160" t="str">
        <f>Teams!B38</f>
        <v>Bucktown University</v>
      </c>
      <c r="D41" s="136" t="str">
        <f>INDEX(Teams!$B$5:$F$45,MATCH(DummyStandings!$C41,Teams!$B$5:$B$45,0),COLUMN()+1)</f>
        <v>Woodlands</v>
      </c>
      <c r="E41" s="213" t="str">
        <f>INDEX(Teams!$B$5:$H$45,MATCH(DummyStandings!$C41,Teams!$B$5:$B$45,0),6)</f>
        <v>BUCK</v>
      </c>
      <c r="F41" s="136">
        <f>IF($E41=F$40,0,IF($AF41=INDEX($B$5:$BD$48,MATCH(F$40,$E$5:$E$48,0),31),1,0))</f>
        <v>0</v>
      </c>
      <c r="G41" s="32">
        <f>IF(G$40=$E41,0,IF(AND(INDEX(Results!$B$2:$AB$282,MATCH(DummyStandings!G$40&amp;DummyStandings!$E41,Results!$K$2:$K$282,0),11)=DummyStandings!$E41,INDEX(Results!$B$2:$AB$282,MATCH(DummyStandings!$E41&amp;DummyStandings!G$40,Results!$K$2:$K$282,0),11)=DummyStandings!$E41),2,IF(INDEX(Results!$B$2:$AB$282,MATCH(DummyStandings!G$40&amp;DummyStandings!$E41,Results!$K$2:$K$282,0),11)=DummyStandings!$E41,1,IF(INDEX(Results!$B$2:$AB$282,MATCH(DummyStandings!$E41&amp;DummyStandings!G$40,Results!$K$2:$K$282,0),11)=DummyStandings!$E41,1,0))))</f>
        <v>0</v>
      </c>
      <c r="H41" s="33">
        <f>IF(H$40=$E41,0,INDEX(Results!$B$2:$O$282,MATCH(DummyStandings!$E41&amp;DummyStandings!H$40,Results!$K$2:$K$282,0),3)-INDEX(Results!$B$2:$O$282,MATCH(DummyStandings!$E41&amp;DummyStandings!H$40,Results!$K$2:$K$282,0),4))</f>
        <v>0</v>
      </c>
      <c r="I41" s="136">
        <f>IF($E41=I$40,0,IF($AF41=INDEX($B$5:$BD$48,MATCH(I$40,$E$5:$E$48,0),31),1,0))</f>
        <v>0</v>
      </c>
      <c r="J41" s="32">
        <f>IF(J$40=$E41,0,IF(AND(INDEX(Results!$B$2:$AB$282,MATCH(DummyStandings!J$40&amp;DummyStandings!$E41,Results!$K$2:$K$282,0),11)=DummyStandings!$E41,INDEX(Results!$B$2:$AB$282,MATCH(DummyStandings!$E41&amp;DummyStandings!J$40,Results!$K$2:$K$282,0),11)=DummyStandings!$E41),2,IF(INDEX(Results!$B$2:$AB$282,MATCH(DummyStandings!J$40&amp;DummyStandings!$E41,Results!$K$2:$K$282,0),11)=DummyStandings!$E41,1,IF(INDEX(Results!$B$2:$AB$282,MATCH(DummyStandings!$E41&amp;DummyStandings!J$40,Results!$K$2:$K$282,0),11)=DummyStandings!$E41,1,0))))</f>
        <v>0</v>
      </c>
      <c r="K41" s="33">
        <f>IF(K$40=$E41,0,INDEX(Results!$B$2:$O$282,MATCH(DummyStandings!$E41&amp;DummyStandings!K$40,Results!$K$2:$K$282,0),3)-INDEX(Results!$B$2:$O$282,MATCH(DummyStandings!$E41&amp;DummyStandings!K$40,Results!$K$2:$K$282,0),4))</f>
        <v>-13</v>
      </c>
      <c r="L41" s="136">
        <f>IF($E41=L$40,0,IF($AF41=INDEX($B$5:$BD$48,MATCH(L$40,$E$5:$E$48,0),31),1,0))</f>
        <v>0</v>
      </c>
      <c r="M41" s="32">
        <f>IF(M$40=$E41,0,IF(AND(INDEX(Results!$B$2:$AB$282,MATCH(DummyStandings!M$40&amp;DummyStandings!$E41,Results!$K$2:$K$282,0),11)=DummyStandings!$E41,INDEX(Results!$B$2:$AB$282,MATCH(DummyStandings!$E41&amp;DummyStandings!M$40,Results!$K$2:$K$282,0),11)=DummyStandings!$E41),2,IF(INDEX(Results!$B$2:$AB$282,MATCH(DummyStandings!M$40&amp;DummyStandings!$E41,Results!$K$2:$K$282,0),11)=DummyStandings!$E41,1,IF(INDEX(Results!$B$2:$AB$282,MATCH(DummyStandings!$E41&amp;DummyStandings!M$40,Results!$K$2:$K$282,0),11)=DummyStandings!$E41,1,0))))</f>
        <v>2</v>
      </c>
      <c r="N41" s="33">
        <f>IF(N$40=$E41,0,INDEX(Results!$B$2:$O$282,MATCH(DummyStandings!$E41&amp;DummyStandings!N$40,Results!$K$2:$K$282,0),3)-INDEX(Results!$B$2:$O$282,MATCH(DummyStandings!$E41&amp;DummyStandings!N$40,Results!$K$2:$K$282,0),4))</f>
        <v>23</v>
      </c>
      <c r="O41" s="136">
        <f>IF($E41=O$40,0,IF($AF41=INDEX($B$5:$BD$48,MATCH(O$40,$E$5:$E$48,0),31),1,0))</f>
        <v>0</v>
      </c>
      <c r="P41" s="32">
        <f>IF(P$40=$E41,0,IF(AND(INDEX(Results!$B$2:$AB$282,MATCH(DummyStandings!P$40&amp;DummyStandings!$E41,Results!$K$2:$K$282,0),11)=DummyStandings!$E41,INDEX(Results!$B$2:$AB$282,MATCH(DummyStandings!$E41&amp;DummyStandings!P$40,Results!$K$2:$K$282,0),11)=DummyStandings!$E41),2,IF(INDEX(Results!$B$2:$AB$282,MATCH(DummyStandings!P$40&amp;DummyStandings!$E41,Results!$K$2:$K$282,0),11)=DummyStandings!$E41,1,IF(INDEX(Results!$B$2:$AB$282,MATCH(DummyStandings!$E41&amp;DummyStandings!P$40,Results!$K$2:$K$282,0),11)=DummyStandings!$E41,1,0))))</f>
        <v>1</v>
      </c>
      <c r="Q41" s="33">
        <f>IF(Q$40=$E41,0,INDEX(Results!$B$2:$O$282,MATCH(DummyStandings!$E41&amp;DummyStandings!Q$40,Results!$K$2:$K$282,0),3)-INDEX(Results!$B$2:$O$282,MATCH(DummyStandings!$E41&amp;DummyStandings!Q$40,Results!$K$2:$K$282,0),4))</f>
        <v>-22</v>
      </c>
      <c r="R41" s="136">
        <f>IF($E41=R$40,0,IF($AF41=INDEX($B$5:$BD$48,MATCH(R$40,$E$5:$E$48,0),31),1,0))</f>
        <v>0</v>
      </c>
      <c r="S41" s="32">
        <f>IF(S$40=$E41,0,IF(AND(INDEX(Results!$B$2:$AB$282,MATCH(DummyStandings!S$40&amp;DummyStandings!$E41,Results!$K$2:$K$282,0),11)=DummyStandings!$E41,INDEX(Results!$B$2:$AB$282,MATCH(DummyStandings!$E41&amp;DummyStandings!S$40,Results!$K$2:$K$282,0),11)=DummyStandings!$E41),2,IF(INDEX(Results!$B$2:$AB$282,MATCH(DummyStandings!S$40&amp;DummyStandings!$E41,Results!$K$2:$K$282,0),11)=DummyStandings!$E41,1,IF(INDEX(Results!$B$2:$AB$282,MATCH(DummyStandings!$E41&amp;DummyStandings!S$40,Results!$K$2:$K$282,0),11)=DummyStandings!$E41,1,0))))</f>
        <v>1</v>
      </c>
      <c r="T41" s="33">
        <f>IF(T$40=$E41,0,INDEX(Results!$B$2:$O$282,MATCH(DummyStandings!$E41&amp;DummyStandings!T$40,Results!$K$2:$K$282,0),3)-INDEX(Results!$B$2:$O$282,MATCH(DummyStandings!$E41&amp;DummyStandings!T$40,Results!$K$2:$K$282,0),4))</f>
        <v>9</v>
      </c>
      <c r="U41" s="136">
        <f>IF($E41=U$40,0,IF($AF41=INDEX($B$5:$BD$48,MATCH(U$40,$E$5:$E$48,0),31),1,0))</f>
        <v>0</v>
      </c>
      <c r="V41" s="32">
        <f>IF(V$40=$E41,0,IF(AND(INDEX(Results!$B$2:$AB$282,MATCH(DummyStandings!V$40&amp;DummyStandings!$E41,Results!$K$2:$K$282,0),11)=DummyStandings!$E41,INDEX(Results!$B$2:$AB$282,MATCH(DummyStandings!$E41&amp;DummyStandings!V$40,Results!$K$2:$K$282,0),11)=DummyStandings!$E41),2,IF(INDEX(Results!$B$2:$AB$282,MATCH(DummyStandings!V$40&amp;DummyStandings!$E41,Results!$K$2:$K$282,0),11)=DummyStandings!$E41,1,IF(INDEX(Results!$B$2:$AB$282,MATCH(DummyStandings!$E41&amp;DummyStandings!V$40,Results!$K$2:$K$282,0),11)=DummyStandings!$E41,1,0))))</f>
        <v>1</v>
      </c>
      <c r="W41" s="33">
        <f>IF(W$40=$E41,0,INDEX(Results!$B$2:$O$282,MATCH(DummyStandings!$E41&amp;DummyStandings!W$40,Results!$K$2:$K$282,0),3)-INDEX(Results!$B$2:$O$282,MATCH(DummyStandings!$E41&amp;DummyStandings!W$40,Results!$K$2:$K$282,0),4))</f>
        <v>-2</v>
      </c>
      <c r="X41" s="136">
        <f>IF($E41=X$40,0,IF($AF41=INDEX($B$5:$BD$48,MATCH(X$40,$E$5:$E$48,0),31),1,0))</f>
        <v>0</v>
      </c>
      <c r="Y41" s="32">
        <f>IF(Y$40=$E41,0,IF(AND(INDEX(Results!$B$2:$AB$282,MATCH(DummyStandings!Y$40&amp;DummyStandings!$E41,Results!$K$2:$K$282,0),11)=DummyStandings!$E41,INDEX(Results!$B$2:$AB$282,MATCH(DummyStandings!$E41&amp;DummyStandings!Y$40,Results!$K$2:$K$282,0),11)=DummyStandings!$E41),2,IF(INDEX(Results!$B$2:$AB$282,MATCH(DummyStandings!Y$40&amp;DummyStandings!$E41,Results!$K$2:$K$282,0),11)=DummyStandings!$E41,1,IF(INDEX(Results!$B$2:$AB$282,MATCH(DummyStandings!$E41&amp;DummyStandings!Y$40,Results!$K$2:$K$282,0),11)=DummyStandings!$E41,1,0))))</f>
        <v>1</v>
      </c>
      <c r="Z41" s="33">
        <f>IF(Z$40=$E41,0,INDEX(Results!$B$2:$O$282,MATCH(DummyStandings!$E41&amp;DummyStandings!Z$40,Results!$K$2:$K$282,0),3)-INDEX(Results!$B$2:$O$282,MATCH(DummyStandings!$E41&amp;DummyStandings!Z$40,Results!$K$2:$K$282,0),4))</f>
        <v>11</v>
      </c>
      <c r="AA41" s="136">
        <f>IF($E41=AA$40,0,IF($AF41=INDEX($B$5:$BD$48,MATCH(AA$40,$E$5:$E$48,0),31),1,0))</f>
        <v>0</v>
      </c>
      <c r="AB41" s="32">
        <f>IF(AB$40=$E41,0,IF(AND(INDEX(Results!$B$2:$AB$282,MATCH(DummyStandings!AB$40&amp;DummyStandings!$E41,Results!$K$2:$K$282,0),11)=DummyStandings!$E41,INDEX(Results!$B$2:$AB$282,MATCH(DummyStandings!$E41&amp;DummyStandings!AB$40,Results!$K$2:$K$282,0),11)=DummyStandings!$E41),2,IF(INDEX(Results!$B$2:$AB$282,MATCH(DummyStandings!AB$40&amp;DummyStandings!$E41,Results!$K$2:$K$282,0),11)=DummyStandings!$E41,1,IF(INDEX(Results!$B$2:$AB$282,MATCH(DummyStandings!$E41&amp;DummyStandings!AB$40,Results!$K$2:$K$282,0),11)=DummyStandings!$E41,1,0))))</f>
        <v>1</v>
      </c>
      <c r="AC41" s="33">
        <f>IF(AC$40=$E41,0,INDEX(Results!$B$2:$O$282,MATCH(DummyStandings!$E41&amp;DummyStandings!AC$40,Results!$K$2:$K$282,0),3)-INDEX(Results!$B$2:$O$282,MATCH(DummyStandings!$E41&amp;DummyStandings!AC$40,Results!$K$2:$K$282,0),4))</f>
        <v>-1</v>
      </c>
      <c r="AD41" s="131">
        <f>($F41*G41)+($I41*J41)+($L41*M41)+($O41*P41)+($R41*S41)+($U41*V41)+($X41*Y41)</f>
        <v>0</v>
      </c>
      <c r="AE41" s="136">
        <f>($F41*H41)+($I41*K41)+($L41*N41)+($O41*Q41)+($R41*T41)+($U41*W41)+($X41*Z41)</f>
        <v>0</v>
      </c>
      <c r="AF41" s="136">
        <f aca="true" t="shared" si="100" ref="AF41:AF48">RANK($AN41,$AN$5:$AN$48)</f>
        <v>16</v>
      </c>
      <c r="AG41" s="132">
        <f t="shared" si="19"/>
        <v>2</v>
      </c>
      <c r="AH41" s="32">
        <f aca="true" t="shared" si="101" ref="AH41:AH48">SUMPRODUCT(($AF41=$AF$5:$AF$48)*($AD41=$AD$5:$AD$48)*($AE41&lt;$AE$5:$AE$48))</f>
        <v>0</v>
      </c>
      <c r="AI41" s="136">
        <f aca="true" t="shared" si="102" ref="AI41:AI48">SUMPRODUCT(($AF$5:$AF$48=$AF41)*($AG$5:$AG$48=$AG41)*($AH$5:$AH$48=$AH41)*($AR$5:$AR$48&gt;$AR41))</f>
        <v>1</v>
      </c>
      <c r="AJ41" s="136">
        <f aca="true" t="shared" si="103" ref="AJ41:AJ48">SUMPRODUCT(($AF$5:$AF$48=$AF41)*($AG$5:$AG$48=$AG41)*($AH$5:$AH$48=$AH41)*($AI$5:$AI$48=$AI41)*($AP$5:$AP$48&gt;$AP41))</f>
        <v>0</v>
      </c>
      <c r="AK41" s="136">
        <f aca="true" t="shared" si="104" ref="AK41:AK48">SUMPRODUCT(($AF$5:$AF$48=$AF41)*($AG$5:$AG$48=$AG41)*($AH$5:$AH$48=$AH41)*($AI$5:$AI$48=$AI41)*($AJ$5:$AJ$48=$AJ41)*($BB$5:$BB$48&gt;$BB41))</f>
        <v>0</v>
      </c>
      <c r="AL41" s="131">
        <f t="shared" si="20"/>
        <v>0</v>
      </c>
      <c r="AM41" s="32">
        <f t="shared" si="21"/>
        <v>14</v>
      </c>
      <c r="AN41" s="32">
        <f t="shared" si="22"/>
        <v>7</v>
      </c>
      <c r="AO41" s="32">
        <f t="shared" si="23"/>
        <v>7</v>
      </c>
      <c r="AP41" s="32">
        <f t="shared" si="24"/>
        <v>211</v>
      </c>
      <c r="AQ41" s="32">
        <f t="shared" si="25"/>
        <v>209</v>
      </c>
      <c r="AR41" s="32">
        <f t="shared" si="26"/>
        <v>2</v>
      </c>
      <c r="AS41" s="136">
        <f t="shared" si="27"/>
        <v>7</v>
      </c>
      <c r="AT41" s="32">
        <f>SUMPRODUCT((Results!$C$3:$C$282=DummyStandings!$C41)*(Results!$D$3:$D$282&gt;Results!$E$3:$E$282))</f>
        <v>3</v>
      </c>
      <c r="AU41" s="32">
        <f>SUMPRODUCT((Results!$C$3:$C$282=DummyStandings!$C41)*(Results!$D$3:$D$282&lt;Results!$E$3:$E$282))</f>
        <v>4</v>
      </c>
      <c r="AV41" s="32">
        <f>SUMIF(Results!$C$3:$C$282,$C41,Results!$D$3:$D$282)</f>
        <v>105</v>
      </c>
      <c r="AW41" s="32">
        <f>SUMIF(Results!$C$3:$C$282,$C41,Results!$E$3:$E$282)</f>
        <v>100</v>
      </c>
      <c r="AX41" s="32">
        <f t="shared" si="28"/>
        <v>5</v>
      </c>
      <c r="AY41" s="136">
        <f t="shared" si="29"/>
        <v>7</v>
      </c>
      <c r="AZ41" s="32">
        <f>SUMPRODUCT((Results!$F$3:$F$282=DummyStandings!$C41)*(Results!$E$3:$E$282&gt;Results!$D$3:$D$282))</f>
        <v>4</v>
      </c>
      <c r="BA41" s="32">
        <f>SUMPRODUCT((Results!$F$3:$F$282=DummyStandings!$C41)*(Results!$E$3:$E$282&lt;Results!$D$3:$D$282))</f>
        <v>3</v>
      </c>
      <c r="BB41" s="32">
        <f>SUMIF(Results!$F$3:$F$282,$C41,Results!$E$3:$E$282)</f>
        <v>106</v>
      </c>
      <c r="BC41" s="32">
        <f>SUMIF(Results!$F$3:$F$282,$C41,Results!$D$3:$D$282)</f>
        <v>109</v>
      </c>
      <c r="BD41" s="33">
        <f t="shared" si="30"/>
        <v>-3</v>
      </c>
      <c r="BE41" s="32">
        <f>INDEX(Teams!$B$5:$H$45,MATCH(DummyStandings!E41,Teams!$G$5:$G$45,0),7)</f>
        <v>20</v>
      </c>
      <c r="BF41" s="272">
        <f t="shared" si="40"/>
        <v>0.5285714285714286</v>
      </c>
      <c r="BG41" s="275">
        <f t="shared" si="31"/>
        <v>0.3585714285714286</v>
      </c>
      <c r="BH41" s="275">
        <f t="shared" si="41"/>
        <v>0.4719047619047619</v>
      </c>
      <c r="BI41" s="34">
        <v>1</v>
      </c>
      <c r="BJ41" s="132">
        <f t="shared" si="32"/>
        <v>14</v>
      </c>
      <c r="BK41" s="35">
        <f t="shared" si="33"/>
        <v>0</v>
      </c>
      <c r="BL41" s="35">
        <f t="shared" si="34"/>
        <v>0</v>
      </c>
      <c r="BM41" s="35">
        <f t="shared" si="35"/>
        <v>0</v>
      </c>
      <c r="BN41" s="35">
        <f t="shared" si="36"/>
        <v>0</v>
      </c>
      <c r="BO41" s="35">
        <f t="shared" si="37"/>
        <v>0</v>
      </c>
      <c r="BP41" s="137">
        <f t="shared" si="38"/>
        <v>0</v>
      </c>
      <c r="BQ41" s="131">
        <f aca="true" t="shared" si="105" ref="BQ41:BQ48">SUM(BI41:BP41)</f>
        <v>15</v>
      </c>
      <c r="BR41" s="136">
        <f aca="true" t="shared" si="106" ref="BR41:BR48">B41-BQ41</f>
        <v>4</v>
      </c>
      <c r="BS41" s="132">
        <f aca="true" t="shared" si="107" ref="BS41:BS48">SUMPRODUCT(($AF$5:$AF$48=$AF41)*($AR$5:$AR$48&gt;$AR41))</f>
        <v>3</v>
      </c>
      <c r="BT41" s="35">
        <f t="shared" si="39"/>
        <v>19</v>
      </c>
    </row>
    <row r="42" spans="2:72" ht="12.75">
      <c r="B42" s="132">
        <f aca="true" t="shared" si="108" ref="B42:B48">SUM(AF42:AL42)</f>
        <v>10</v>
      </c>
      <c r="C42" s="161" t="str">
        <f>Teams!B39</f>
        <v>Frbiba State University</v>
      </c>
      <c r="D42" s="137" t="str">
        <f>INDEX(Teams!$B$5:$F$45,MATCH(DummyStandings!$C42,Teams!$B$5:$B$45,0),COLUMN()+1)</f>
        <v>Woodlands</v>
      </c>
      <c r="E42" s="167" t="str">
        <f>INDEX(Teams!$B$5:$H$45,MATCH(DummyStandings!$C42,Teams!$B$5:$B$45,0),6)</f>
        <v>FRBB</v>
      </c>
      <c r="F42" s="137">
        <f aca="true" t="shared" si="109" ref="F42:F48">IF($E42=F$40,0,IF($AF42=INDEX($B$5:$BD$48,MATCH(F$40,$E$5:$E$48,0),31),1,0))</f>
        <v>0</v>
      </c>
      <c r="G42" s="34">
        <f>IF(G$40=$E42,0,IF(AND(INDEX(Results!$B$2:$AB$282,MATCH(DummyStandings!G$40&amp;DummyStandings!$E42,Results!$K$2:$K$282,0),11)=DummyStandings!$E42,INDEX(Results!$B$2:$AB$282,MATCH(DummyStandings!$E42&amp;DummyStandings!G$40,Results!$K$2:$K$282,0),11)=DummyStandings!$E42),2,IF(INDEX(Results!$B$2:$AB$282,MATCH(DummyStandings!G$40&amp;DummyStandings!$E42,Results!$K$2:$K$282,0),11)=DummyStandings!$E42,1,IF(INDEX(Results!$B$2:$AB$282,MATCH(DummyStandings!$E42&amp;DummyStandings!G$40,Results!$K$2:$K$282,0),11)=DummyStandings!$E42,1,0))))</f>
        <v>2</v>
      </c>
      <c r="H42" s="35">
        <f>IF(H$40=$E42,0,INDEX(Results!$B$2:$O$282,MATCH(DummyStandings!$E42&amp;DummyStandings!H$40,Results!$K$2:$K$282,0),3)-INDEX(Results!$B$2:$O$282,MATCH(DummyStandings!$E42&amp;DummyStandings!H$40,Results!$K$2:$K$282,0),4))</f>
        <v>9</v>
      </c>
      <c r="I42" s="137">
        <f aca="true" t="shared" si="110" ref="I42:I48">IF($E42=I$40,0,IF($AF42=INDEX($B$5:$BD$48,MATCH(I$40,$E$5:$E$48,0),31),1,0))</f>
        <v>0</v>
      </c>
      <c r="J42" s="34">
        <f>IF(J$40=$E42,0,IF(AND(INDEX(Results!$B$2:$AB$282,MATCH(DummyStandings!J$40&amp;DummyStandings!$E42,Results!$K$2:$K$282,0),11)=DummyStandings!$E42,INDEX(Results!$B$2:$AB$282,MATCH(DummyStandings!$E42&amp;DummyStandings!J$40,Results!$K$2:$K$282,0),11)=DummyStandings!$E42),2,IF(INDEX(Results!$B$2:$AB$282,MATCH(DummyStandings!J$40&amp;DummyStandings!$E42,Results!$K$2:$K$282,0),11)=DummyStandings!$E42,1,IF(INDEX(Results!$B$2:$AB$282,MATCH(DummyStandings!$E42&amp;DummyStandings!J$40,Results!$K$2:$K$282,0),11)=DummyStandings!$E42,1,0))))</f>
        <v>0</v>
      </c>
      <c r="K42" s="35">
        <f>IF(K$40=$E42,0,INDEX(Results!$B$2:$O$282,MATCH(DummyStandings!$E42&amp;DummyStandings!K$40,Results!$K$2:$K$282,0),3)-INDEX(Results!$B$2:$O$282,MATCH(DummyStandings!$E42&amp;DummyStandings!K$40,Results!$K$2:$K$282,0),4))</f>
        <v>0</v>
      </c>
      <c r="L42" s="137">
        <f aca="true" t="shared" si="111" ref="L42:L48">IF($E42=L$40,0,IF($AF42=INDEX($B$5:$BD$48,MATCH(L$40,$E$5:$E$48,0),31),1,0))</f>
        <v>0</v>
      </c>
      <c r="M42" s="34">
        <f>IF(M$40=$E42,0,IF(AND(INDEX(Results!$B$2:$AB$282,MATCH(DummyStandings!M$40&amp;DummyStandings!$E42,Results!$K$2:$K$282,0),11)=DummyStandings!$E42,INDEX(Results!$B$2:$AB$282,MATCH(DummyStandings!$E42&amp;DummyStandings!M$40,Results!$K$2:$K$282,0),11)=DummyStandings!$E42),2,IF(INDEX(Results!$B$2:$AB$282,MATCH(DummyStandings!M$40&amp;DummyStandings!$E42,Results!$K$2:$K$282,0),11)=DummyStandings!$E42,1,IF(INDEX(Results!$B$2:$AB$282,MATCH(DummyStandings!$E42&amp;DummyStandings!M$40,Results!$K$2:$K$282,0),11)=DummyStandings!$E42,1,0))))</f>
        <v>2</v>
      </c>
      <c r="N42" s="35">
        <f>IF(N$40=$E42,0,INDEX(Results!$B$2:$O$282,MATCH(DummyStandings!$E42&amp;DummyStandings!N$40,Results!$K$2:$K$282,0),3)-INDEX(Results!$B$2:$O$282,MATCH(DummyStandings!$E42&amp;DummyStandings!N$40,Results!$K$2:$K$282,0),4))</f>
        <v>40</v>
      </c>
      <c r="O42" s="137">
        <f aca="true" t="shared" si="112" ref="O42:O48">IF($E42=O$40,0,IF($AF42=INDEX($B$5:$BD$48,MATCH(O$40,$E$5:$E$48,0),31),1,0))</f>
        <v>0</v>
      </c>
      <c r="P42" s="34">
        <f>IF(P$40=$E42,0,IF(AND(INDEX(Results!$B$2:$AB$282,MATCH(DummyStandings!P$40&amp;DummyStandings!$E42,Results!$K$2:$K$282,0),11)=DummyStandings!$E42,INDEX(Results!$B$2:$AB$282,MATCH(DummyStandings!$E42&amp;DummyStandings!P$40,Results!$K$2:$K$282,0),11)=DummyStandings!$E42),2,IF(INDEX(Results!$B$2:$AB$282,MATCH(DummyStandings!P$40&amp;DummyStandings!$E42,Results!$K$2:$K$282,0),11)=DummyStandings!$E42,1,IF(INDEX(Results!$B$2:$AB$282,MATCH(DummyStandings!$E42&amp;DummyStandings!P$40,Results!$K$2:$K$282,0),11)=DummyStandings!$E42,1,0))))</f>
        <v>1</v>
      </c>
      <c r="Q42" s="35">
        <f>IF(Q$40=$E42,0,INDEX(Results!$B$2:$O$282,MATCH(DummyStandings!$E42&amp;DummyStandings!Q$40,Results!$K$2:$K$282,0),3)-INDEX(Results!$B$2:$O$282,MATCH(DummyStandings!$E42&amp;DummyStandings!Q$40,Results!$K$2:$K$282,0),4))</f>
        <v>19</v>
      </c>
      <c r="R42" s="137">
        <f aca="true" t="shared" si="113" ref="R42:R48">IF($E42=R$40,0,IF($AF42=INDEX($B$5:$BD$48,MATCH(R$40,$E$5:$E$48,0),31),1,0))</f>
        <v>0</v>
      </c>
      <c r="S42" s="34">
        <f>IF(S$40=$E42,0,IF(AND(INDEX(Results!$B$2:$AB$282,MATCH(DummyStandings!S$40&amp;DummyStandings!$E42,Results!$K$2:$K$282,0),11)=DummyStandings!$E42,INDEX(Results!$B$2:$AB$282,MATCH(DummyStandings!$E42&amp;DummyStandings!S$40,Results!$K$2:$K$282,0),11)=DummyStandings!$E42),2,IF(INDEX(Results!$B$2:$AB$282,MATCH(DummyStandings!S$40&amp;DummyStandings!$E42,Results!$K$2:$K$282,0),11)=DummyStandings!$E42,1,IF(INDEX(Results!$B$2:$AB$282,MATCH(DummyStandings!$E42&amp;DummyStandings!S$40,Results!$K$2:$K$282,0),11)=DummyStandings!$E42,1,0))))</f>
        <v>2</v>
      </c>
      <c r="T42" s="35">
        <f>IF(T$40=$E42,0,INDEX(Results!$B$2:$O$282,MATCH(DummyStandings!$E42&amp;DummyStandings!T$40,Results!$K$2:$K$282,0),3)-INDEX(Results!$B$2:$O$282,MATCH(DummyStandings!$E42&amp;DummyStandings!T$40,Results!$K$2:$K$282,0),4))</f>
        <v>6</v>
      </c>
      <c r="U42" s="137">
        <f aca="true" t="shared" si="114" ref="U42:U48">IF($E42=U$40,0,IF($AF42=INDEX($B$5:$BD$48,MATCH(U$40,$E$5:$E$48,0),31),1,0))</f>
        <v>0</v>
      </c>
      <c r="V42" s="34">
        <f>IF(V$40=$E42,0,IF(AND(INDEX(Results!$B$2:$AB$282,MATCH(DummyStandings!V$40&amp;DummyStandings!$E42,Results!$K$2:$K$282,0),11)=DummyStandings!$E42,INDEX(Results!$B$2:$AB$282,MATCH(DummyStandings!$E42&amp;DummyStandings!V$40,Results!$K$2:$K$282,0),11)=DummyStandings!$E42),2,IF(INDEX(Results!$B$2:$AB$282,MATCH(DummyStandings!V$40&amp;DummyStandings!$E42,Results!$K$2:$K$282,0),11)=DummyStandings!$E42,1,IF(INDEX(Results!$B$2:$AB$282,MATCH(DummyStandings!$E42&amp;DummyStandings!V$40,Results!$K$2:$K$282,0),11)=DummyStandings!$E42,1,0))))</f>
        <v>2</v>
      </c>
      <c r="W42" s="35">
        <f>IF(W$40=$E42,0,INDEX(Results!$B$2:$O$282,MATCH(DummyStandings!$E42&amp;DummyStandings!W$40,Results!$K$2:$K$282,0),3)-INDEX(Results!$B$2:$O$282,MATCH(DummyStandings!$E42&amp;DummyStandings!W$40,Results!$K$2:$K$282,0),4))</f>
        <v>23</v>
      </c>
      <c r="X42" s="137">
        <f aca="true" t="shared" si="115" ref="X42:X48">IF($E42=X$40,0,IF($AF42=INDEX($B$5:$BD$48,MATCH(X$40,$E$5:$E$48,0),31),1,0))</f>
        <v>1</v>
      </c>
      <c r="Y42" s="34">
        <f>IF(Y$40=$E42,0,IF(AND(INDEX(Results!$B$2:$AB$282,MATCH(DummyStandings!Y$40&amp;DummyStandings!$E42,Results!$K$2:$K$282,0),11)=DummyStandings!$E42,INDEX(Results!$B$2:$AB$282,MATCH(DummyStandings!$E42&amp;DummyStandings!Y$40,Results!$K$2:$K$282,0),11)=DummyStandings!$E42),2,IF(INDEX(Results!$B$2:$AB$282,MATCH(DummyStandings!Y$40&amp;DummyStandings!$E42,Results!$K$2:$K$282,0),11)=DummyStandings!$E42,1,IF(INDEX(Results!$B$2:$AB$282,MATCH(DummyStandings!$E42&amp;DummyStandings!Y$40,Results!$K$2:$K$282,0),11)=DummyStandings!$E42,1,0))))</f>
        <v>0</v>
      </c>
      <c r="Z42" s="35">
        <f>IF(Z$40=$E42,0,INDEX(Results!$B$2:$O$282,MATCH(DummyStandings!$E42&amp;DummyStandings!Z$40,Results!$K$2:$K$282,0),3)-INDEX(Results!$B$2:$O$282,MATCH(DummyStandings!$E42&amp;DummyStandings!Z$40,Results!$K$2:$K$282,0),4))</f>
        <v>-3</v>
      </c>
      <c r="AA42" s="137">
        <f aca="true" t="shared" si="116" ref="AA42:AA48">IF($E42=AA$40,0,IF($AF42=INDEX($B$5:$BD$48,MATCH(AA$40,$E$5:$E$48,0),31),1,0))</f>
        <v>0</v>
      </c>
      <c r="AB42" s="34">
        <f>IF(AB$40=$E42,0,IF(AND(INDEX(Results!$B$2:$AB$282,MATCH(DummyStandings!AB$40&amp;DummyStandings!$E42,Results!$K$2:$K$282,0),11)=DummyStandings!$E42,INDEX(Results!$B$2:$AB$282,MATCH(DummyStandings!$E42&amp;DummyStandings!AB$40,Results!$K$2:$K$282,0),11)=DummyStandings!$E42),2,IF(INDEX(Results!$B$2:$AB$282,MATCH(DummyStandings!AB$40&amp;DummyStandings!$E42,Results!$K$2:$K$282,0),11)=DummyStandings!$E42,1,IF(INDEX(Results!$B$2:$AB$282,MATCH(DummyStandings!$E42&amp;DummyStandings!AB$40,Results!$K$2:$K$282,0),11)=DummyStandings!$E42,1,0))))</f>
        <v>2</v>
      </c>
      <c r="AC42" s="35">
        <f>IF(AC$40=$E42,0,INDEX(Results!$B$2:$O$282,MATCH(DummyStandings!$E42&amp;DummyStandings!AC$40,Results!$K$2:$K$282,0),3)-INDEX(Results!$B$2:$O$282,MATCH(DummyStandings!$E42&amp;DummyStandings!AC$40,Results!$K$2:$K$282,0),4))</f>
        <v>10</v>
      </c>
      <c r="AD42" s="132">
        <f>($F42*G42)+($I42*J42)+($L42*M42)+($O42*P42)+($R42*S42)+($U42*V42)+($X42*Y42)</f>
        <v>0</v>
      </c>
      <c r="AE42" s="137">
        <f>($F42*H42)+($I42*K42)+($L42*N42)+($O42*Q42)+($R42*T42)+($U42*W42)+($X42*Z42)</f>
        <v>-3</v>
      </c>
      <c r="AF42" s="137">
        <f t="shared" si="100"/>
        <v>8</v>
      </c>
      <c r="AG42" s="132">
        <f t="shared" si="19"/>
        <v>1</v>
      </c>
      <c r="AH42" s="34">
        <f t="shared" si="101"/>
        <v>1</v>
      </c>
      <c r="AI42" s="137">
        <f t="shared" si="102"/>
        <v>0</v>
      </c>
      <c r="AJ42" s="137">
        <f t="shared" si="103"/>
        <v>0</v>
      </c>
      <c r="AK42" s="137">
        <f t="shared" si="104"/>
        <v>0</v>
      </c>
      <c r="AL42" s="132">
        <f t="shared" si="20"/>
        <v>0</v>
      </c>
      <c r="AM42" s="34">
        <f t="shared" si="21"/>
        <v>14</v>
      </c>
      <c r="AN42" s="34">
        <f t="shared" si="22"/>
        <v>11</v>
      </c>
      <c r="AO42" s="34">
        <f t="shared" si="23"/>
        <v>3</v>
      </c>
      <c r="AP42" s="34">
        <f t="shared" si="24"/>
        <v>210</v>
      </c>
      <c r="AQ42" s="34">
        <f t="shared" si="25"/>
        <v>68</v>
      </c>
      <c r="AR42" s="34">
        <f t="shared" si="26"/>
        <v>142</v>
      </c>
      <c r="AS42" s="137">
        <f t="shared" si="27"/>
        <v>7</v>
      </c>
      <c r="AT42" s="34">
        <f>SUMPRODUCT((Results!$C$3:$C$282=DummyStandings!$C42)*(Results!$D$3:$D$282&gt;Results!$E$3:$E$282))</f>
        <v>6</v>
      </c>
      <c r="AU42" s="34">
        <f>SUMPRODUCT((Results!$C$3:$C$282=DummyStandings!$C42)*(Results!$D$3:$D$282&lt;Results!$E$3:$E$282))</f>
        <v>1</v>
      </c>
      <c r="AV42" s="34">
        <f>SUMIF(Results!$C$3:$C$282,$C42,Results!$D$3:$D$282)</f>
        <v>135</v>
      </c>
      <c r="AW42" s="34">
        <f>SUMIF(Results!$C$3:$C$282,$C42,Results!$E$3:$E$282)</f>
        <v>31</v>
      </c>
      <c r="AX42" s="34">
        <f t="shared" si="28"/>
        <v>104</v>
      </c>
      <c r="AY42" s="137">
        <f t="shared" si="29"/>
        <v>7</v>
      </c>
      <c r="AZ42" s="34">
        <f>SUMPRODUCT((Results!$F$3:$F$282=DummyStandings!$C42)*(Results!$E$3:$E$282&gt;Results!$D$3:$D$282))</f>
        <v>5</v>
      </c>
      <c r="BA42" s="34">
        <f>SUMPRODUCT((Results!$F$3:$F$282=DummyStandings!$C42)*(Results!$E$3:$E$282&lt;Results!$D$3:$D$282))</f>
        <v>2</v>
      </c>
      <c r="BB42" s="34">
        <f>SUMIF(Results!$F$3:$F$282,$C42,Results!$E$3:$E$282)</f>
        <v>75</v>
      </c>
      <c r="BC42" s="34">
        <f>SUMIF(Results!$F$3:$F$282,$C42,Results!$D$3:$D$282)</f>
        <v>37</v>
      </c>
      <c r="BD42" s="35">
        <f t="shared" si="30"/>
        <v>38</v>
      </c>
      <c r="BE42" s="34">
        <f>INDEX(Teams!$B$5:$H$45,MATCH(DummyStandings!E42,Teams!$G$5:$G$45,0),7)</f>
        <v>2</v>
      </c>
      <c r="BF42" s="272">
        <f t="shared" si="40"/>
        <v>0.7571428571428571</v>
      </c>
      <c r="BG42" s="275">
        <f t="shared" si="31"/>
        <v>0.33571428571428574</v>
      </c>
      <c r="BH42" s="275">
        <f t="shared" si="41"/>
        <v>0.6166666666666667</v>
      </c>
      <c r="BI42" s="34">
        <v>1</v>
      </c>
      <c r="BJ42" s="132">
        <f t="shared" si="32"/>
        <v>7</v>
      </c>
      <c r="BK42" s="35">
        <f t="shared" si="33"/>
        <v>0</v>
      </c>
      <c r="BL42" s="35">
        <f t="shared" si="34"/>
        <v>0</v>
      </c>
      <c r="BM42" s="35">
        <f t="shared" si="35"/>
        <v>0</v>
      </c>
      <c r="BN42" s="35">
        <f t="shared" si="36"/>
        <v>0</v>
      </c>
      <c r="BO42" s="35">
        <f t="shared" si="37"/>
        <v>0</v>
      </c>
      <c r="BP42" s="137">
        <f t="shared" si="38"/>
        <v>0</v>
      </c>
      <c r="BQ42" s="132">
        <f t="shared" si="105"/>
        <v>8</v>
      </c>
      <c r="BR42" s="137">
        <f t="shared" si="106"/>
        <v>2</v>
      </c>
      <c r="BS42" s="132">
        <f t="shared" si="107"/>
        <v>2</v>
      </c>
      <c r="BT42" s="35">
        <f t="shared" si="39"/>
        <v>10</v>
      </c>
    </row>
    <row r="43" spans="2:72" ht="12.75">
      <c r="B43" s="132">
        <f t="shared" si="108"/>
        <v>40</v>
      </c>
      <c r="C43" s="161" t="str">
        <f>Teams!B40</f>
        <v>Hudson College</v>
      </c>
      <c r="D43" s="137" t="str">
        <f>INDEX(Teams!$B$5:$F$45,MATCH(DummyStandings!$C43,Teams!$B$5:$B$45,0),COLUMN()+1)</f>
        <v>Woodlands</v>
      </c>
      <c r="E43" s="167" t="str">
        <f>INDEX(Teams!$B$5:$H$45,MATCH(DummyStandings!$C43,Teams!$B$5:$B$45,0),6)</f>
        <v>HUDS</v>
      </c>
      <c r="F43" s="137">
        <f t="shared" si="109"/>
        <v>0</v>
      </c>
      <c r="G43" s="34">
        <f>IF(G$40=$E43,0,IF(AND(INDEX(Results!$B$2:$AB$282,MATCH(DummyStandings!G$40&amp;DummyStandings!$E43,Results!$K$2:$K$282,0),11)=DummyStandings!$E43,INDEX(Results!$B$2:$AB$282,MATCH(DummyStandings!$E43&amp;DummyStandings!G$40,Results!$K$2:$K$282,0),11)=DummyStandings!$E43),2,IF(INDEX(Results!$B$2:$AB$282,MATCH(DummyStandings!G$40&amp;DummyStandings!$E43,Results!$K$2:$K$282,0),11)=DummyStandings!$E43,1,IF(INDEX(Results!$B$2:$AB$282,MATCH(DummyStandings!$E43&amp;DummyStandings!G$40,Results!$K$2:$K$282,0),11)=DummyStandings!$E43,1,0))))</f>
        <v>0</v>
      </c>
      <c r="H43" s="35">
        <f>IF(H$40=$E43,0,INDEX(Results!$B$2:$O$282,MATCH(DummyStandings!$E43&amp;DummyStandings!H$40,Results!$K$2:$K$282,0),3)-INDEX(Results!$B$2:$O$282,MATCH(DummyStandings!$E43&amp;DummyStandings!H$40,Results!$K$2:$K$282,0),4))</f>
        <v>-17</v>
      </c>
      <c r="I43" s="137">
        <f t="shared" si="110"/>
        <v>0</v>
      </c>
      <c r="J43" s="34">
        <f>IF(J$40=$E43,0,IF(AND(INDEX(Results!$B$2:$AB$282,MATCH(DummyStandings!J$40&amp;DummyStandings!$E43,Results!$K$2:$K$282,0),11)=DummyStandings!$E43,INDEX(Results!$B$2:$AB$282,MATCH(DummyStandings!$E43&amp;DummyStandings!J$40,Results!$K$2:$K$282,0),11)=DummyStandings!$E43),2,IF(INDEX(Results!$B$2:$AB$282,MATCH(DummyStandings!J$40&amp;DummyStandings!$E43,Results!$K$2:$K$282,0),11)=DummyStandings!$E43,1,IF(INDEX(Results!$B$2:$AB$282,MATCH(DummyStandings!$E43&amp;DummyStandings!J$40,Results!$K$2:$K$282,0),11)=DummyStandings!$E43,1,0))))</f>
        <v>0</v>
      </c>
      <c r="K43" s="35">
        <f>IF(K$40=$E43,0,INDEX(Results!$B$2:$O$282,MATCH(DummyStandings!$E43&amp;DummyStandings!K$40,Results!$K$2:$K$282,0),3)-INDEX(Results!$B$2:$O$282,MATCH(DummyStandings!$E43&amp;DummyStandings!K$40,Results!$K$2:$K$282,0),4))</f>
        <v>-10</v>
      </c>
      <c r="L43" s="137">
        <f t="shared" si="111"/>
        <v>0</v>
      </c>
      <c r="M43" s="34">
        <f>IF(M$40=$E43,0,IF(AND(INDEX(Results!$B$2:$AB$282,MATCH(DummyStandings!M$40&amp;DummyStandings!$E43,Results!$K$2:$K$282,0),11)=DummyStandings!$E43,INDEX(Results!$B$2:$AB$282,MATCH(DummyStandings!$E43&amp;DummyStandings!M$40,Results!$K$2:$K$282,0),11)=DummyStandings!$E43),2,IF(INDEX(Results!$B$2:$AB$282,MATCH(DummyStandings!M$40&amp;DummyStandings!$E43,Results!$K$2:$K$282,0),11)=DummyStandings!$E43,1,IF(INDEX(Results!$B$2:$AB$282,MATCH(DummyStandings!$E43&amp;DummyStandings!M$40,Results!$K$2:$K$282,0),11)=DummyStandings!$E43,1,0))))</f>
        <v>0</v>
      </c>
      <c r="N43" s="35">
        <f>IF(N$40=$E43,0,INDEX(Results!$B$2:$O$282,MATCH(DummyStandings!$E43&amp;DummyStandings!N$40,Results!$K$2:$K$282,0),3)-INDEX(Results!$B$2:$O$282,MATCH(DummyStandings!$E43&amp;DummyStandings!N$40,Results!$K$2:$K$282,0),4))</f>
        <v>0</v>
      </c>
      <c r="O43" s="137">
        <f t="shared" si="112"/>
        <v>0</v>
      </c>
      <c r="P43" s="34">
        <f>IF(P$40=$E43,0,IF(AND(INDEX(Results!$B$2:$AB$282,MATCH(DummyStandings!P$40&amp;DummyStandings!$E43,Results!$K$2:$K$282,0),11)=DummyStandings!$E43,INDEX(Results!$B$2:$AB$282,MATCH(DummyStandings!$E43&amp;DummyStandings!P$40,Results!$K$2:$K$282,0),11)=DummyStandings!$E43),2,IF(INDEX(Results!$B$2:$AB$282,MATCH(DummyStandings!P$40&amp;DummyStandings!$E43,Results!$K$2:$K$282,0),11)=DummyStandings!$E43,1,IF(INDEX(Results!$B$2:$AB$282,MATCH(DummyStandings!$E43&amp;DummyStandings!P$40,Results!$K$2:$K$282,0),11)=DummyStandings!$E43,1,0))))</f>
        <v>0</v>
      </c>
      <c r="Q43" s="35">
        <f>IF(Q$40=$E43,0,INDEX(Results!$B$2:$O$282,MATCH(DummyStandings!$E43&amp;DummyStandings!Q$40,Results!$K$2:$K$282,0),3)-INDEX(Results!$B$2:$O$282,MATCH(DummyStandings!$E43&amp;DummyStandings!Q$40,Results!$K$2:$K$282,0),4))</f>
        <v>-23</v>
      </c>
      <c r="R43" s="137">
        <f t="shared" si="113"/>
        <v>0</v>
      </c>
      <c r="S43" s="34">
        <f>IF(S$40=$E43,0,IF(AND(INDEX(Results!$B$2:$AB$282,MATCH(DummyStandings!S$40&amp;DummyStandings!$E43,Results!$K$2:$K$282,0),11)=DummyStandings!$E43,INDEX(Results!$B$2:$AB$282,MATCH(DummyStandings!$E43&amp;DummyStandings!S$40,Results!$K$2:$K$282,0),11)=DummyStandings!$E43),2,IF(INDEX(Results!$B$2:$AB$282,MATCH(DummyStandings!S$40&amp;DummyStandings!$E43,Results!$K$2:$K$282,0),11)=DummyStandings!$E43,1,IF(INDEX(Results!$B$2:$AB$282,MATCH(DummyStandings!$E43&amp;DummyStandings!S$40,Results!$K$2:$K$282,0),11)=DummyStandings!$E43,1,0))))</f>
        <v>0</v>
      </c>
      <c r="T43" s="35">
        <f>IF(T$40=$E43,0,INDEX(Results!$B$2:$O$282,MATCH(DummyStandings!$E43&amp;DummyStandings!T$40,Results!$K$2:$K$282,0),3)-INDEX(Results!$B$2:$O$282,MATCH(DummyStandings!$E43&amp;DummyStandings!T$40,Results!$K$2:$K$282,0),4))</f>
        <v>-17</v>
      </c>
      <c r="U43" s="137">
        <f t="shared" si="114"/>
        <v>0</v>
      </c>
      <c r="V43" s="34">
        <f>IF(V$40=$E43,0,IF(AND(INDEX(Results!$B$2:$AB$282,MATCH(DummyStandings!V$40&amp;DummyStandings!$E43,Results!$K$2:$K$282,0),11)=DummyStandings!$E43,INDEX(Results!$B$2:$AB$282,MATCH(DummyStandings!$E43&amp;DummyStandings!V$40,Results!$K$2:$K$282,0),11)=DummyStandings!$E43),2,IF(INDEX(Results!$B$2:$AB$282,MATCH(DummyStandings!V$40&amp;DummyStandings!$E43,Results!$K$2:$K$282,0),11)=DummyStandings!$E43,1,IF(INDEX(Results!$B$2:$AB$282,MATCH(DummyStandings!$E43&amp;DummyStandings!V$40,Results!$K$2:$K$282,0),11)=DummyStandings!$E43,1,0))))</f>
        <v>0</v>
      </c>
      <c r="W43" s="35">
        <f>IF(W$40=$E43,0,INDEX(Results!$B$2:$O$282,MATCH(DummyStandings!$E43&amp;DummyStandings!W$40,Results!$K$2:$K$282,0),3)-INDEX(Results!$B$2:$O$282,MATCH(DummyStandings!$E43&amp;DummyStandings!W$40,Results!$K$2:$K$282,0),4))</f>
        <v>-22</v>
      </c>
      <c r="X43" s="137">
        <f t="shared" si="115"/>
        <v>0</v>
      </c>
      <c r="Y43" s="34">
        <f>IF(Y$40=$E43,0,IF(AND(INDEX(Results!$B$2:$AB$282,MATCH(DummyStandings!Y$40&amp;DummyStandings!$E43,Results!$K$2:$K$282,0),11)=DummyStandings!$E43,INDEX(Results!$B$2:$AB$282,MATCH(DummyStandings!$E43&amp;DummyStandings!Y$40,Results!$K$2:$K$282,0),11)=DummyStandings!$E43),2,IF(INDEX(Results!$B$2:$AB$282,MATCH(DummyStandings!Y$40&amp;DummyStandings!$E43,Results!$K$2:$K$282,0),11)=DummyStandings!$E43,1,IF(INDEX(Results!$B$2:$AB$282,MATCH(DummyStandings!$E43&amp;DummyStandings!Y$40,Results!$K$2:$K$282,0),11)=DummyStandings!$E43,1,0))))</f>
        <v>0</v>
      </c>
      <c r="Z43" s="35">
        <f>IF(Z$40=$E43,0,INDEX(Results!$B$2:$O$282,MATCH(DummyStandings!$E43&amp;DummyStandings!Z$40,Results!$K$2:$K$282,0),3)-INDEX(Results!$B$2:$O$282,MATCH(DummyStandings!$E43&amp;DummyStandings!Z$40,Results!$K$2:$K$282,0),4))</f>
        <v>-29</v>
      </c>
      <c r="AA43" s="137">
        <f t="shared" si="116"/>
        <v>0</v>
      </c>
      <c r="AB43" s="34">
        <f>IF(AB$40=$E43,0,IF(AND(INDEX(Results!$B$2:$AB$282,MATCH(DummyStandings!AB$40&amp;DummyStandings!$E43,Results!$K$2:$K$282,0),11)=DummyStandings!$E43,INDEX(Results!$B$2:$AB$282,MATCH(DummyStandings!$E43&amp;DummyStandings!AB$40,Results!$K$2:$K$282,0),11)=DummyStandings!$E43),2,IF(INDEX(Results!$B$2:$AB$282,MATCH(DummyStandings!AB$40&amp;DummyStandings!$E43,Results!$K$2:$K$282,0),11)=DummyStandings!$E43,1,IF(INDEX(Results!$B$2:$AB$282,MATCH(DummyStandings!$E43&amp;DummyStandings!AB$40,Results!$K$2:$K$282,0),11)=DummyStandings!$E43,1,0))))</f>
        <v>0</v>
      </c>
      <c r="AC43" s="35">
        <f>IF(AC$40=$E43,0,INDEX(Results!$B$2:$O$282,MATCH(DummyStandings!$E43&amp;DummyStandings!AC$40,Results!$K$2:$K$282,0),3)-INDEX(Results!$B$2:$O$282,MATCH(DummyStandings!$E43&amp;DummyStandings!AC$40,Results!$K$2:$K$282,0),4))</f>
        <v>-44</v>
      </c>
      <c r="AD43" s="132">
        <f aca="true" t="shared" si="117" ref="AD43:AE48">($F43*G43)+($I43*J43)+($L43*M43)+($O43*P43)+($R43*S43)+($U43*V43)+($X43*Y43)</f>
        <v>0</v>
      </c>
      <c r="AE43" s="137">
        <f t="shared" si="117"/>
        <v>0</v>
      </c>
      <c r="AF43" s="137">
        <f t="shared" si="100"/>
        <v>40</v>
      </c>
      <c r="AG43" s="132">
        <f t="shared" si="19"/>
        <v>0</v>
      </c>
      <c r="AH43" s="34">
        <f t="shared" si="101"/>
        <v>0</v>
      </c>
      <c r="AI43" s="137">
        <f t="shared" si="102"/>
        <v>0</v>
      </c>
      <c r="AJ43" s="137">
        <f t="shared" si="103"/>
        <v>0</v>
      </c>
      <c r="AK43" s="137">
        <f t="shared" si="104"/>
        <v>0</v>
      </c>
      <c r="AL43" s="132">
        <f t="shared" si="20"/>
        <v>0</v>
      </c>
      <c r="AM43" s="34">
        <f t="shared" si="21"/>
        <v>14</v>
      </c>
      <c r="AN43" s="34">
        <f t="shared" si="22"/>
        <v>0</v>
      </c>
      <c r="AO43" s="34">
        <f t="shared" si="23"/>
        <v>14</v>
      </c>
      <c r="AP43" s="34">
        <f t="shared" si="24"/>
        <v>53</v>
      </c>
      <c r="AQ43" s="34">
        <f t="shared" si="25"/>
        <v>430</v>
      </c>
      <c r="AR43" s="34">
        <f t="shared" si="26"/>
        <v>-377</v>
      </c>
      <c r="AS43" s="137">
        <f t="shared" si="27"/>
        <v>7</v>
      </c>
      <c r="AT43" s="34">
        <f>SUMPRODUCT((Results!$C$3:$C$282=DummyStandings!$C43)*(Results!$D$3:$D$282&gt;Results!$E$3:$E$282))</f>
        <v>0</v>
      </c>
      <c r="AU43" s="34">
        <f>SUMPRODUCT((Results!$C$3:$C$282=DummyStandings!$C43)*(Results!$D$3:$D$282&lt;Results!$E$3:$E$282))</f>
        <v>7</v>
      </c>
      <c r="AV43" s="34">
        <f>SUMIF(Results!$C$3:$C$282,$C43,Results!$D$3:$D$282)</f>
        <v>37</v>
      </c>
      <c r="AW43" s="34">
        <f>SUMIF(Results!$C$3:$C$282,$C43,Results!$E$3:$E$282)</f>
        <v>199</v>
      </c>
      <c r="AX43" s="34">
        <f t="shared" si="28"/>
        <v>-162</v>
      </c>
      <c r="AY43" s="137">
        <f t="shared" si="29"/>
        <v>7</v>
      </c>
      <c r="AZ43" s="34">
        <f>SUMPRODUCT((Results!$F$3:$F$282=DummyStandings!$C43)*(Results!$E$3:$E$282&gt;Results!$D$3:$D$282))</f>
        <v>0</v>
      </c>
      <c r="BA43" s="34">
        <f>SUMPRODUCT((Results!$F$3:$F$282=DummyStandings!$C43)*(Results!$E$3:$E$282&lt;Results!$D$3:$D$282))</f>
        <v>7</v>
      </c>
      <c r="BB43" s="34">
        <f>SUMIF(Results!$F$3:$F$282,$C43,Results!$E$3:$E$282)</f>
        <v>16</v>
      </c>
      <c r="BC43" s="34">
        <f>SUMIF(Results!$F$3:$F$282,$C43,Results!$D$3:$D$282)</f>
        <v>231</v>
      </c>
      <c r="BD43" s="35">
        <f t="shared" si="30"/>
        <v>-215</v>
      </c>
      <c r="BE43" s="34">
        <f>INDEX(Teams!$B$5:$H$45,MATCH(DummyStandings!E43,Teams!$G$5:$G$45,0),7)</f>
        <v>24</v>
      </c>
      <c r="BF43" s="272">
        <f t="shared" si="40"/>
        <v>0</v>
      </c>
      <c r="BG43" s="275">
        <f t="shared" si="31"/>
        <v>0.41142857142857137</v>
      </c>
      <c r="BH43" s="275">
        <f t="shared" si="41"/>
        <v>0.13714285714285712</v>
      </c>
      <c r="BI43" s="34">
        <v>1</v>
      </c>
      <c r="BJ43" s="132">
        <f t="shared" si="32"/>
        <v>39</v>
      </c>
      <c r="BK43" s="35">
        <f t="shared" si="33"/>
        <v>0</v>
      </c>
      <c r="BL43" s="35">
        <f t="shared" si="34"/>
        <v>0</v>
      </c>
      <c r="BM43" s="35">
        <f t="shared" si="35"/>
        <v>0</v>
      </c>
      <c r="BN43" s="35">
        <f t="shared" si="36"/>
        <v>0</v>
      </c>
      <c r="BO43" s="35">
        <f t="shared" si="37"/>
        <v>0</v>
      </c>
      <c r="BP43" s="137">
        <f t="shared" si="38"/>
        <v>0</v>
      </c>
      <c r="BQ43" s="132">
        <f t="shared" si="105"/>
        <v>40</v>
      </c>
      <c r="BR43" s="137">
        <f t="shared" si="106"/>
        <v>0</v>
      </c>
      <c r="BS43" s="132">
        <f t="shared" si="107"/>
        <v>0</v>
      </c>
      <c r="BT43" s="35">
        <f t="shared" si="39"/>
        <v>40</v>
      </c>
    </row>
    <row r="44" spans="2:72" ht="12.75">
      <c r="B44" s="132">
        <f t="shared" si="108"/>
        <v>14</v>
      </c>
      <c r="C44" s="161" t="str">
        <f>Teams!B41</f>
        <v>Touffer University</v>
      </c>
      <c r="D44" s="137" t="str">
        <f>INDEX(Teams!$B$5:$F$45,MATCH(DummyStandings!$C44,Teams!$B$5:$B$45,0),COLUMN()+1)</f>
        <v>Woodlands</v>
      </c>
      <c r="E44" s="167" t="str">
        <f>INDEX(Teams!$B$5:$H$45,MATCH(DummyStandings!$C44,Teams!$B$5:$B$45,0),6)</f>
        <v>TOUF</v>
      </c>
      <c r="F44" s="137">
        <f t="shared" si="109"/>
        <v>0</v>
      </c>
      <c r="G44" s="34">
        <f>IF(G$40=$E44,0,IF(AND(INDEX(Results!$B$2:$AB$282,MATCH(DummyStandings!G$40&amp;DummyStandings!$E44,Results!$K$2:$K$282,0),11)=DummyStandings!$E44,INDEX(Results!$B$2:$AB$282,MATCH(DummyStandings!$E44&amp;DummyStandings!G$40,Results!$K$2:$K$282,0),11)=DummyStandings!$E44),2,IF(INDEX(Results!$B$2:$AB$282,MATCH(DummyStandings!G$40&amp;DummyStandings!$E44,Results!$K$2:$K$282,0),11)=DummyStandings!$E44,1,IF(INDEX(Results!$B$2:$AB$282,MATCH(DummyStandings!$E44&amp;DummyStandings!G$40,Results!$K$2:$K$282,0),11)=DummyStandings!$E44,1,0))))</f>
        <v>1</v>
      </c>
      <c r="H44" s="35">
        <f>IF(H$40=$E44,0,INDEX(Results!$B$2:$O$282,MATCH(DummyStandings!$E44&amp;DummyStandings!H$40,Results!$K$2:$K$282,0),3)-INDEX(Results!$B$2:$O$282,MATCH(DummyStandings!$E44&amp;DummyStandings!H$40,Results!$K$2:$K$282,0),4))</f>
        <v>-1</v>
      </c>
      <c r="I44" s="137">
        <f t="shared" si="110"/>
        <v>0</v>
      </c>
      <c r="J44" s="34">
        <f>IF(J$40=$E44,0,IF(AND(INDEX(Results!$B$2:$AB$282,MATCH(DummyStandings!J$40&amp;DummyStandings!$E44,Results!$K$2:$K$282,0),11)=DummyStandings!$E44,INDEX(Results!$B$2:$AB$282,MATCH(DummyStandings!$E44&amp;DummyStandings!J$40,Results!$K$2:$K$282,0),11)=DummyStandings!$E44),2,IF(INDEX(Results!$B$2:$AB$282,MATCH(DummyStandings!J$40&amp;DummyStandings!$E44,Results!$K$2:$K$282,0),11)=DummyStandings!$E44,1,IF(INDEX(Results!$B$2:$AB$282,MATCH(DummyStandings!$E44&amp;DummyStandings!J$40,Results!$K$2:$K$282,0),11)=DummyStandings!$E44,1,0))))</f>
        <v>1</v>
      </c>
      <c r="K44" s="35">
        <f>IF(K$40=$E44,0,INDEX(Results!$B$2:$O$282,MATCH(DummyStandings!$E44&amp;DummyStandings!K$40,Results!$K$2:$K$282,0),3)-INDEX(Results!$B$2:$O$282,MATCH(DummyStandings!$E44&amp;DummyStandings!K$40,Results!$K$2:$K$282,0),4))</f>
        <v>13</v>
      </c>
      <c r="L44" s="137">
        <f t="shared" si="111"/>
        <v>0</v>
      </c>
      <c r="M44" s="34">
        <f>IF(M$40=$E44,0,IF(AND(INDEX(Results!$B$2:$AB$282,MATCH(DummyStandings!M$40&amp;DummyStandings!$E44,Results!$K$2:$K$282,0),11)=DummyStandings!$E44,INDEX(Results!$B$2:$AB$282,MATCH(DummyStandings!$E44&amp;DummyStandings!M$40,Results!$K$2:$K$282,0),11)=DummyStandings!$E44),2,IF(INDEX(Results!$B$2:$AB$282,MATCH(DummyStandings!M$40&amp;DummyStandings!$E44,Results!$K$2:$K$282,0),11)=DummyStandings!$E44,1,IF(INDEX(Results!$B$2:$AB$282,MATCH(DummyStandings!$E44&amp;DummyStandings!M$40,Results!$K$2:$K$282,0),11)=DummyStandings!$E44,1,0))))</f>
        <v>2</v>
      </c>
      <c r="N44" s="35">
        <f>IF(N$40=$E44,0,INDEX(Results!$B$2:$O$282,MATCH(DummyStandings!$E44&amp;DummyStandings!N$40,Results!$K$2:$K$282,0),3)-INDEX(Results!$B$2:$O$282,MATCH(DummyStandings!$E44&amp;DummyStandings!N$40,Results!$K$2:$K$282,0),4))</f>
        <v>16</v>
      </c>
      <c r="O44" s="137">
        <f t="shared" si="112"/>
        <v>0</v>
      </c>
      <c r="P44" s="34">
        <f>IF(P$40=$E44,0,IF(AND(INDEX(Results!$B$2:$AB$282,MATCH(DummyStandings!P$40&amp;DummyStandings!$E44,Results!$K$2:$K$282,0),11)=DummyStandings!$E44,INDEX(Results!$B$2:$AB$282,MATCH(DummyStandings!$E44&amp;DummyStandings!P$40,Results!$K$2:$K$282,0),11)=DummyStandings!$E44),2,IF(INDEX(Results!$B$2:$AB$282,MATCH(DummyStandings!P$40&amp;DummyStandings!$E44,Results!$K$2:$K$282,0),11)=DummyStandings!$E44,1,IF(INDEX(Results!$B$2:$AB$282,MATCH(DummyStandings!$E44&amp;DummyStandings!P$40,Results!$K$2:$K$282,0),11)=DummyStandings!$E44,1,0))))</f>
        <v>0</v>
      </c>
      <c r="Q44" s="35">
        <f>IF(Q$40=$E44,0,INDEX(Results!$B$2:$O$282,MATCH(DummyStandings!$E44&amp;DummyStandings!Q$40,Results!$K$2:$K$282,0),3)-INDEX(Results!$B$2:$O$282,MATCH(DummyStandings!$E44&amp;DummyStandings!Q$40,Results!$K$2:$K$282,0),4))</f>
        <v>0</v>
      </c>
      <c r="R44" s="137">
        <f t="shared" si="113"/>
        <v>0</v>
      </c>
      <c r="S44" s="34">
        <f>IF(S$40=$E44,0,IF(AND(INDEX(Results!$B$2:$AB$282,MATCH(DummyStandings!S$40&amp;DummyStandings!$E44,Results!$K$2:$K$282,0),11)=DummyStandings!$E44,INDEX(Results!$B$2:$AB$282,MATCH(DummyStandings!$E44&amp;DummyStandings!S$40,Results!$K$2:$K$282,0),11)=DummyStandings!$E44),2,IF(INDEX(Results!$B$2:$AB$282,MATCH(DummyStandings!S$40&amp;DummyStandings!$E44,Results!$K$2:$K$282,0),11)=DummyStandings!$E44,1,IF(INDEX(Results!$B$2:$AB$282,MATCH(DummyStandings!$E44&amp;DummyStandings!S$40,Results!$K$2:$K$282,0),11)=DummyStandings!$E44,1,0))))</f>
        <v>0</v>
      </c>
      <c r="T44" s="35">
        <f>IF(T$40=$E44,0,INDEX(Results!$B$2:$O$282,MATCH(DummyStandings!$E44&amp;DummyStandings!T$40,Results!$K$2:$K$282,0),3)-INDEX(Results!$B$2:$O$282,MATCH(DummyStandings!$E44&amp;DummyStandings!T$40,Results!$K$2:$K$282,0),4))</f>
        <v>-3</v>
      </c>
      <c r="U44" s="137">
        <f t="shared" si="114"/>
        <v>0</v>
      </c>
      <c r="V44" s="34">
        <f>IF(V$40=$E44,0,IF(AND(INDEX(Results!$B$2:$AB$282,MATCH(DummyStandings!V$40&amp;DummyStandings!$E44,Results!$K$2:$K$282,0),11)=DummyStandings!$E44,INDEX(Results!$B$2:$AB$282,MATCH(DummyStandings!$E44&amp;DummyStandings!V$40,Results!$K$2:$K$282,0),11)=DummyStandings!$E44),2,IF(INDEX(Results!$B$2:$AB$282,MATCH(DummyStandings!V$40&amp;DummyStandings!$E44,Results!$K$2:$K$282,0),11)=DummyStandings!$E44,1,IF(INDEX(Results!$B$2:$AB$282,MATCH(DummyStandings!$E44&amp;DummyStandings!V$40,Results!$K$2:$K$282,0),11)=DummyStandings!$E44,1,0))))</f>
        <v>2</v>
      </c>
      <c r="W44" s="35">
        <f>IF(W$40=$E44,0,INDEX(Results!$B$2:$O$282,MATCH(DummyStandings!$E44&amp;DummyStandings!W$40,Results!$K$2:$K$282,0),3)-INDEX(Results!$B$2:$O$282,MATCH(DummyStandings!$E44&amp;DummyStandings!W$40,Results!$K$2:$K$282,0),4))</f>
        <v>15</v>
      </c>
      <c r="X44" s="137">
        <f t="shared" si="115"/>
        <v>0</v>
      </c>
      <c r="Y44" s="34">
        <f>IF(Y$40=$E44,0,IF(AND(INDEX(Results!$B$2:$AB$282,MATCH(DummyStandings!Y$40&amp;DummyStandings!$E44,Results!$K$2:$K$282,0),11)=DummyStandings!$E44,INDEX(Results!$B$2:$AB$282,MATCH(DummyStandings!$E44&amp;DummyStandings!Y$40,Results!$K$2:$K$282,0),11)=DummyStandings!$E44),2,IF(INDEX(Results!$B$2:$AB$282,MATCH(DummyStandings!Y$40&amp;DummyStandings!$E44,Results!$K$2:$K$282,0),11)=DummyStandings!$E44,1,IF(INDEX(Results!$B$2:$AB$282,MATCH(DummyStandings!$E44&amp;DummyStandings!Y$40,Results!$K$2:$K$282,0),11)=DummyStandings!$E44,1,0))))</f>
        <v>1</v>
      </c>
      <c r="Z44" s="35">
        <f>IF(Z$40=$E44,0,INDEX(Results!$B$2:$O$282,MATCH(DummyStandings!$E44&amp;DummyStandings!Z$40,Results!$K$2:$K$282,0),3)-INDEX(Results!$B$2:$O$282,MATCH(DummyStandings!$E44&amp;DummyStandings!Z$40,Results!$K$2:$K$282,0),4))</f>
        <v>3</v>
      </c>
      <c r="AA44" s="137">
        <f t="shared" si="116"/>
        <v>0</v>
      </c>
      <c r="AB44" s="34">
        <f>IF(AB$40=$E44,0,IF(AND(INDEX(Results!$B$2:$AB$282,MATCH(DummyStandings!AB$40&amp;DummyStandings!$E44,Results!$K$2:$K$282,0),11)=DummyStandings!$E44,INDEX(Results!$B$2:$AB$282,MATCH(DummyStandings!$E44&amp;DummyStandings!AB$40,Results!$K$2:$K$282,0),11)=DummyStandings!$E44),2,IF(INDEX(Results!$B$2:$AB$282,MATCH(DummyStandings!AB$40&amp;DummyStandings!$E44,Results!$K$2:$K$282,0),11)=DummyStandings!$E44,1,IF(INDEX(Results!$B$2:$AB$282,MATCH(DummyStandings!$E44&amp;DummyStandings!AB$40,Results!$K$2:$K$282,0),11)=DummyStandings!$E44,1,0))))</f>
        <v>2</v>
      </c>
      <c r="AC44" s="35">
        <f>IF(AC$40=$E44,0,INDEX(Results!$B$2:$O$282,MATCH(DummyStandings!$E44&amp;DummyStandings!AC$40,Results!$K$2:$K$282,0),3)-INDEX(Results!$B$2:$O$282,MATCH(DummyStandings!$E44&amp;DummyStandings!AC$40,Results!$K$2:$K$282,0),4))</f>
        <v>20</v>
      </c>
      <c r="AD44" s="132">
        <f t="shared" si="117"/>
        <v>0</v>
      </c>
      <c r="AE44" s="137">
        <f t="shared" si="117"/>
        <v>0</v>
      </c>
      <c r="AF44" s="137">
        <f t="shared" si="100"/>
        <v>14</v>
      </c>
      <c r="AG44" s="132">
        <f t="shared" si="19"/>
        <v>0</v>
      </c>
      <c r="AH44" s="34">
        <f t="shared" si="101"/>
        <v>0</v>
      </c>
      <c r="AI44" s="137">
        <f t="shared" si="102"/>
        <v>0</v>
      </c>
      <c r="AJ44" s="137">
        <f t="shared" si="103"/>
        <v>0</v>
      </c>
      <c r="AK44" s="137">
        <f t="shared" si="104"/>
        <v>0</v>
      </c>
      <c r="AL44" s="132">
        <f t="shared" si="20"/>
        <v>0</v>
      </c>
      <c r="AM44" s="34">
        <f t="shared" si="21"/>
        <v>14</v>
      </c>
      <c r="AN44" s="34">
        <f t="shared" si="22"/>
        <v>9</v>
      </c>
      <c r="AO44" s="34">
        <f t="shared" si="23"/>
        <v>5</v>
      </c>
      <c r="AP44" s="34">
        <f t="shared" si="24"/>
        <v>305</v>
      </c>
      <c r="AQ44" s="34">
        <f t="shared" si="25"/>
        <v>229</v>
      </c>
      <c r="AR44" s="34">
        <f t="shared" si="26"/>
        <v>76</v>
      </c>
      <c r="AS44" s="137">
        <f t="shared" si="27"/>
        <v>7</v>
      </c>
      <c r="AT44" s="34">
        <f>SUMPRODUCT((Results!$C$3:$C$282=DummyStandings!$C44)*(Results!$D$3:$D$282&gt;Results!$E$3:$E$282))</f>
        <v>5</v>
      </c>
      <c r="AU44" s="34">
        <f>SUMPRODUCT((Results!$C$3:$C$282=DummyStandings!$C44)*(Results!$D$3:$D$282&lt;Results!$E$3:$E$282))</f>
        <v>2</v>
      </c>
      <c r="AV44" s="34">
        <f>SUMIF(Results!$C$3:$C$282,$C44,Results!$D$3:$D$282)</f>
        <v>170</v>
      </c>
      <c r="AW44" s="34">
        <f>SUMIF(Results!$C$3:$C$282,$C44,Results!$E$3:$E$282)</f>
        <v>107</v>
      </c>
      <c r="AX44" s="34">
        <f t="shared" si="28"/>
        <v>63</v>
      </c>
      <c r="AY44" s="137">
        <f t="shared" si="29"/>
        <v>7</v>
      </c>
      <c r="AZ44" s="34">
        <f>SUMPRODUCT((Results!$F$3:$F$282=DummyStandings!$C44)*(Results!$E$3:$E$282&gt;Results!$D$3:$D$282))</f>
        <v>4</v>
      </c>
      <c r="BA44" s="34">
        <f>SUMPRODUCT((Results!$F$3:$F$282=DummyStandings!$C44)*(Results!$E$3:$E$282&lt;Results!$D$3:$D$282))</f>
        <v>3</v>
      </c>
      <c r="BB44" s="34">
        <f>SUMIF(Results!$F$3:$F$282,$C44,Results!$E$3:$E$282)</f>
        <v>135</v>
      </c>
      <c r="BC44" s="34">
        <f>SUMIF(Results!$F$3:$F$282,$C44,Results!$D$3:$D$282)</f>
        <v>122</v>
      </c>
      <c r="BD44" s="35">
        <f t="shared" si="30"/>
        <v>13</v>
      </c>
      <c r="BE44" s="34">
        <f>INDEX(Teams!$B$5:$H$45,MATCH(DummyStandings!E44,Teams!$G$5:$G$45,0),7)</f>
        <v>31</v>
      </c>
      <c r="BF44" s="272">
        <f t="shared" si="40"/>
        <v>0.6142857142857142</v>
      </c>
      <c r="BG44" s="275">
        <f t="shared" si="31"/>
        <v>0.35</v>
      </c>
      <c r="BH44" s="275">
        <f t="shared" si="41"/>
        <v>0.5261904761904761</v>
      </c>
      <c r="BI44" s="34">
        <v>1</v>
      </c>
      <c r="BJ44" s="132">
        <f t="shared" si="32"/>
        <v>13</v>
      </c>
      <c r="BK44" s="35">
        <f t="shared" si="33"/>
        <v>0</v>
      </c>
      <c r="BL44" s="35">
        <f t="shared" si="34"/>
        <v>0</v>
      </c>
      <c r="BM44" s="35">
        <f t="shared" si="35"/>
        <v>0</v>
      </c>
      <c r="BN44" s="35">
        <f t="shared" si="36"/>
        <v>0</v>
      </c>
      <c r="BO44" s="35">
        <f t="shared" si="37"/>
        <v>0</v>
      </c>
      <c r="BP44" s="137">
        <f t="shared" si="38"/>
        <v>0</v>
      </c>
      <c r="BQ44" s="132">
        <f t="shared" si="105"/>
        <v>14</v>
      </c>
      <c r="BR44" s="137">
        <f t="shared" si="106"/>
        <v>0</v>
      </c>
      <c r="BS44" s="132">
        <f t="shared" si="107"/>
        <v>0</v>
      </c>
      <c r="BT44" s="35">
        <f t="shared" si="39"/>
        <v>14</v>
      </c>
    </row>
    <row r="45" spans="2:72" ht="12.75">
      <c r="B45" s="132">
        <f t="shared" si="108"/>
        <v>11</v>
      </c>
      <c r="C45" s="161" t="str">
        <f>Teams!B42</f>
        <v>University of Arkinesia</v>
      </c>
      <c r="D45" s="137" t="str">
        <f>INDEX(Teams!$B$5:$F$45,MATCH(DummyStandings!$C45,Teams!$B$5:$B$45,0),COLUMN()+1)</f>
        <v>Woodlands</v>
      </c>
      <c r="E45" s="167" t="str">
        <f>INDEX(Teams!$B$5:$H$45,MATCH(DummyStandings!$C45,Teams!$B$5:$B$45,0),6)</f>
        <v>ARKN</v>
      </c>
      <c r="F45" s="137">
        <f t="shared" si="109"/>
        <v>0</v>
      </c>
      <c r="G45" s="34">
        <f>IF(G$40=$E45,0,IF(AND(INDEX(Results!$B$2:$AB$282,MATCH(DummyStandings!G$40&amp;DummyStandings!$E45,Results!$K$2:$K$282,0),11)=DummyStandings!$E45,INDEX(Results!$B$2:$AB$282,MATCH(DummyStandings!$E45&amp;DummyStandings!G$40,Results!$K$2:$K$282,0),11)=DummyStandings!$E45),2,IF(INDEX(Results!$B$2:$AB$282,MATCH(DummyStandings!G$40&amp;DummyStandings!$E45,Results!$K$2:$K$282,0),11)=DummyStandings!$E45,1,IF(INDEX(Results!$B$2:$AB$282,MATCH(DummyStandings!$E45&amp;DummyStandings!G$40,Results!$K$2:$K$282,0),11)=DummyStandings!$E45,1,0))))</f>
        <v>1</v>
      </c>
      <c r="H45" s="35">
        <f>IF(H$40=$E45,0,INDEX(Results!$B$2:$O$282,MATCH(DummyStandings!$E45&amp;DummyStandings!H$40,Results!$K$2:$K$282,0),3)-INDEX(Results!$B$2:$O$282,MATCH(DummyStandings!$E45&amp;DummyStandings!H$40,Results!$K$2:$K$282,0),4))</f>
        <v>35</v>
      </c>
      <c r="I45" s="137">
        <f t="shared" si="110"/>
        <v>0</v>
      </c>
      <c r="J45" s="34">
        <f>IF(J$40=$E45,0,IF(AND(INDEX(Results!$B$2:$AB$282,MATCH(DummyStandings!J$40&amp;DummyStandings!$E45,Results!$K$2:$K$282,0),11)=DummyStandings!$E45,INDEX(Results!$B$2:$AB$282,MATCH(DummyStandings!$E45&amp;DummyStandings!J$40,Results!$K$2:$K$282,0),11)=DummyStandings!$E45),2,IF(INDEX(Results!$B$2:$AB$282,MATCH(DummyStandings!J$40&amp;DummyStandings!$E45,Results!$K$2:$K$282,0),11)=DummyStandings!$E45,1,IF(INDEX(Results!$B$2:$AB$282,MATCH(DummyStandings!$E45&amp;DummyStandings!J$40,Results!$K$2:$K$282,0),11)=DummyStandings!$E45,1,0))))</f>
        <v>0</v>
      </c>
      <c r="K45" s="35">
        <f>IF(K$40=$E45,0,INDEX(Results!$B$2:$O$282,MATCH(DummyStandings!$E45&amp;DummyStandings!K$40,Results!$K$2:$K$282,0),3)-INDEX(Results!$B$2:$O$282,MATCH(DummyStandings!$E45&amp;DummyStandings!K$40,Results!$K$2:$K$282,0),4))</f>
        <v>-8</v>
      </c>
      <c r="L45" s="137">
        <f t="shared" si="111"/>
        <v>0</v>
      </c>
      <c r="M45" s="34">
        <f>IF(M$40=$E45,0,IF(AND(INDEX(Results!$B$2:$AB$282,MATCH(DummyStandings!M$40&amp;DummyStandings!$E45,Results!$K$2:$K$282,0),11)=DummyStandings!$E45,INDEX(Results!$B$2:$AB$282,MATCH(DummyStandings!$E45&amp;DummyStandings!M$40,Results!$K$2:$K$282,0),11)=DummyStandings!$E45),2,IF(INDEX(Results!$B$2:$AB$282,MATCH(DummyStandings!M$40&amp;DummyStandings!$E45,Results!$K$2:$K$282,0),11)=DummyStandings!$E45,1,IF(INDEX(Results!$B$2:$AB$282,MATCH(DummyStandings!$E45&amp;DummyStandings!M$40,Results!$K$2:$K$282,0),11)=DummyStandings!$E45,1,0))))</f>
        <v>2</v>
      </c>
      <c r="N45" s="35">
        <f>IF(N$40=$E45,0,INDEX(Results!$B$2:$O$282,MATCH(DummyStandings!$E45&amp;DummyStandings!N$40,Results!$K$2:$K$282,0),3)-INDEX(Results!$B$2:$O$282,MATCH(DummyStandings!$E45&amp;DummyStandings!N$40,Results!$K$2:$K$282,0),4))</f>
        <v>33</v>
      </c>
      <c r="O45" s="137">
        <f t="shared" si="112"/>
        <v>0</v>
      </c>
      <c r="P45" s="34">
        <f>IF(P$40=$E45,0,IF(AND(INDEX(Results!$B$2:$AB$282,MATCH(DummyStandings!P$40&amp;DummyStandings!$E45,Results!$K$2:$K$282,0),11)=DummyStandings!$E45,INDEX(Results!$B$2:$AB$282,MATCH(DummyStandings!$E45&amp;DummyStandings!P$40,Results!$K$2:$K$282,0),11)=DummyStandings!$E45),2,IF(INDEX(Results!$B$2:$AB$282,MATCH(DummyStandings!P$40&amp;DummyStandings!$E45,Results!$K$2:$K$282,0),11)=DummyStandings!$E45,1,IF(INDEX(Results!$B$2:$AB$282,MATCH(DummyStandings!$E45&amp;DummyStandings!P$40,Results!$K$2:$K$282,0),11)=DummyStandings!$E45,1,0))))</f>
        <v>2</v>
      </c>
      <c r="Q45" s="35">
        <f>IF(Q$40=$E45,0,INDEX(Results!$B$2:$O$282,MATCH(DummyStandings!$E45&amp;DummyStandings!Q$40,Results!$K$2:$K$282,0),3)-INDEX(Results!$B$2:$O$282,MATCH(DummyStandings!$E45&amp;DummyStandings!Q$40,Results!$K$2:$K$282,0),4))</f>
        <v>21</v>
      </c>
      <c r="R45" s="137">
        <f t="shared" si="113"/>
        <v>0</v>
      </c>
      <c r="S45" s="34">
        <f>IF(S$40=$E45,0,IF(AND(INDEX(Results!$B$2:$AB$282,MATCH(DummyStandings!S$40&amp;DummyStandings!$E45,Results!$K$2:$K$282,0),11)=DummyStandings!$E45,INDEX(Results!$B$2:$AB$282,MATCH(DummyStandings!$E45&amp;DummyStandings!S$40,Results!$K$2:$K$282,0),11)=DummyStandings!$E45),2,IF(INDEX(Results!$B$2:$AB$282,MATCH(DummyStandings!S$40&amp;DummyStandings!$E45,Results!$K$2:$K$282,0),11)=DummyStandings!$E45,1,IF(INDEX(Results!$B$2:$AB$282,MATCH(DummyStandings!$E45&amp;DummyStandings!S$40,Results!$K$2:$K$282,0),11)=DummyStandings!$E45,1,0))))</f>
        <v>0</v>
      </c>
      <c r="T45" s="35">
        <f>IF(T$40=$E45,0,INDEX(Results!$B$2:$O$282,MATCH(DummyStandings!$E45&amp;DummyStandings!T$40,Results!$K$2:$K$282,0),3)-INDEX(Results!$B$2:$O$282,MATCH(DummyStandings!$E45&amp;DummyStandings!T$40,Results!$K$2:$K$282,0),4))</f>
        <v>0</v>
      </c>
      <c r="U45" s="137">
        <f t="shared" si="114"/>
        <v>0</v>
      </c>
      <c r="V45" s="34">
        <f>IF(V$40=$E45,0,IF(AND(INDEX(Results!$B$2:$AB$282,MATCH(DummyStandings!V$40&amp;DummyStandings!$E45,Results!$K$2:$K$282,0),11)=DummyStandings!$E45,INDEX(Results!$B$2:$AB$282,MATCH(DummyStandings!$E45&amp;DummyStandings!V$40,Results!$K$2:$K$282,0),11)=DummyStandings!$E45),2,IF(INDEX(Results!$B$2:$AB$282,MATCH(DummyStandings!V$40&amp;DummyStandings!$E45,Results!$K$2:$K$282,0),11)=DummyStandings!$E45,1,IF(INDEX(Results!$B$2:$AB$282,MATCH(DummyStandings!$E45&amp;DummyStandings!V$40,Results!$K$2:$K$282,0),11)=DummyStandings!$E45,1,0))))</f>
        <v>2</v>
      </c>
      <c r="W45" s="35">
        <f>IF(W$40=$E45,0,INDEX(Results!$B$2:$O$282,MATCH(DummyStandings!$E45&amp;DummyStandings!W$40,Results!$K$2:$K$282,0),3)-INDEX(Results!$B$2:$O$282,MATCH(DummyStandings!$E45&amp;DummyStandings!W$40,Results!$K$2:$K$282,0),4))</f>
        <v>51</v>
      </c>
      <c r="X45" s="137">
        <f t="shared" si="115"/>
        <v>0</v>
      </c>
      <c r="Y45" s="34">
        <f>IF(Y$40=$E45,0,IF(AND(INDEX(Results!$B$2:$AB$282,MATCH(DummyStandings!Y$40&amp;DummyStandings!$E45,Results!$K$2:$K$282,0),11)=DummyStandings!$E45,INDEX(Results!$B$2:$AB$282,MATCH(DummyStandings!$E45&amp;DummyStandings!Y$40,Results!$K$2:$K$282,0),11)=DummyStandings!$E45),2,IF(INDEX(Results!$B$2:$AB$282,MATCH(DummyStandings!Y$40&amp;DummyStandings!$E45,Results!$K$2:$K$282,0),11)=DummyStandings!$E45,1,IF(INDEX(Results!$B$2:$AB$282,MATCH(DummyStandings!$E45&amp;DummyStandings!Y$40,Results!$K$2:$K$282,0),11)=DummyStandings!$E45,1,0))))</f>
        <v>1</v>
      </c>
      <c r="Z45" s="35">
        <f>IF(Z$40=$E45,0,INDEX(Results!$B$2:$O$282,MATCH(DummyStandings!$E45&amp;DummyStandings!Z$40,Results!$K$2:$K$282,0),3)-INDEX(Results!$B$2:$O$282,MATCH(DummyStandings!$E45&amp;DummyStandings!Z$40,Results!$K$2:$K$282,0),4))</f>
        <v>5</v>
      </c>
      <c r="AA45" s="137">
        <f t="shared" si="116"/>
        <v>0</v>
      </c>
      <c r="AB45" s="34">
        <f>IF(AB$40=$E45,0,IF(AND(INDEX(Results!$B$2:$AB$282,MATCH(DummyStandings!AB$40&amp;DummyStandings!$E45,Results!$K$2:$K$282,0),11)=DummyStandings!$E45,INDEX(Results!$B$2:$AB$282,MATCH(DummyStandings!$E45&amp;DummyStandings!AB$40,Results!$K$2:$K$282,0),11)=DummyStandings!$E45),2,IF(INDEX(Results!$B$2:$AB$282,MATCH(DummyStandings!AB$40&amp;DummyStandings!$E45,Results!$K$2:$K$282,0),11)=DummyStandings!$E45,1,IF(INDEX(Results!$B$2:$AB$282,MATCH(DummyStandings!$E45&amp;DummyStandings!AB$40,Results!$K$2:$K$282,0),11)=DummyStandings!$E45,1,0))))</f>
        <v>2</v>
      </c>
      <c r="AC45" s="35">
        <f>IF(AC$40=$E45,0,INDEX(Results!$B$2:$O$282,MATCH(DummyStandings!$E45&amp;DummyStandings!AC$40,Results!$K$2:$K$282,0),3)-INDEX(Results!$B$2:$O$282,MATCH(DummyStandings!$E45&amp;DummyStandings!AC$40,Results!$K$2:$K$282,0),4))</f>
        <v>23</v>
      </c>
      <c r="AD45" s="132">
        <f t="shared" si="117"/>
        <v>0</v>
      </c>
      <c r="AE45" s="137">
        <f t="shared" si="117"/>
        <v>0</v>
      </c>
      <c r="AF45" s="137">
        <f t="shared" si="100"/>
        <v>11</v>
      </c>
      <c r="AG45" s="132">
        <f t="shared" si="19"/>
        <v>0</v>
      </c>
      <c r="AH45" s="34">
        <f t="shared" si="101"/>
        <v>0</v>
      </c>
      <c r="AI45" s="137">
        <f t="shared" si="102"/>
        <v>0</v>
      </c>
      <c r="AJ45" s="137">
        <f t="shared" si="103"/>
        <v>0</v>
      </c>
      <c r="AK45" s="137">
        <f t="shared" si="104"/>
        <v>0</v>
      </c>
      <c r="AL45" s="132">
        <f t="shared" si="20"/>
        <v>0</v>
      </c>
      <c r="AM45" s="34">
        <f t="shared" si="21"/>
        <v>14</v>
      </c>
      <c r="AN45" s="34">
        <f t="shared" si="22"/>
        <v>10</v>
      </c>
      <c r="AO45" s="34">
        <f t="shared" si="23"/>
        <v>4</v>
      </c>
      <c r="AP45" s="34">
        <f t="shared" si="24"/>
        <v>324</v>
      </c>
      <c r="AQ45" s="34">
        <f t="shared" si="25"/>
        <v>177</v>
      </c>
      <c r="AR45" s="34">
        <f t="shared" si="26"/>
        <v>147</v>
      </c>
      <c r="AS45" s="137">
        <f t="shared" si="27"/>
        <v>7</v>
      </c>
      <c r="AT45" s="34">
        <f>SUMPRODUCT((Results!$C$3:$C$282=DummyStandings!$C45)*(Results!$D$3:$D$282&gt;Results!$E$3:$E$282))</f>
        <v>6</v>
      </c>
      <c r="AU45" s="34">
        <f>SUMPRODUCT((Results!$C$3:$C$282=DummyStandings!$C45)*(Results!$D$3:$D$282&lt;Results!$E$3:$E$282))</f>
        <v>1</v>
      </c>
      <c r="AV45" s="34">
        <f>SUMIF(Results!$C$3:$C$282,$C45,Results!$D$3:$D$282)</f>
        <v>195</v>
      </c>
      <c r="AW45" s="34">
        <f>SUMIF(Results!$C$3:$C$282,$C45,Results!$E$3:$E$282)</f>
        <v>35</v>
      </c>
      <c r="AX45" s="34">
        <f t="shared" si="28"/>
        <v>160</v>
      </c>
      <c r="AY45" s="137">
        <f t="shared" si="29"/>
        <v>7</v>
      </c>
      <c r="AZ45" s="34">
        <f>SUMPRODUCT((Results!$F$3:$F$282=DummyStandings!$C45)*(Results!$E$3:$E$282&gt;Results!$D$3:$D$282))</f>
        <v>4</v>
      </c>
      <c r="BA45" s="34">
        <f>SUMPRODUCT((Results!$F$3:$F$282=DummyStandings!$C45)*(Results!$E$3:$E$282&lt;Results!$D$3:$D$282))</f>
        <v>3</v>
      </c>
      <c r="BB45" s="34">
        <f>SUMIF(Results!$F$3:$F$282,$C45,Results!$E$3:$E$282)</f>
        <v>129</v>
      </c>
      <c r="BC45" s="34">
        <f>SUMIF(Results!$F$3:$F$282,$C45,Results!$D$3:$D$282)</f>
        <v>142</v>
      </c>
      <c r="BD45" s="35">
        <f t="shared" si="30"/>
        <v>-13</v>
      </c>
      <c r="BE45" s="34">
        <f>INDEX(Teams!$B$5:$H$45,MATCH(DummyStandings!E45,Teams!$G$5:$G$45,0),7)</f>
        <v>4</v>
      </c>
      <c r="BF45" s="272">
        <f t="shared" si="40"/>
        <v>0.6571428571428571</v>
      </c>
      <c r="BG45" s="275">
        <f t="shared" si="31"/>
        <v>0.34571428571428575</v>
      </c>
      <c r="BH45" s="275">
        <f t="shared" si="41"/>
        <v>0.5533333333333333</v>
      </c>
      <c r="BI45" s="34">
        <v>1</v>
      </c>
      <c r="BJ45" s="132">
        <f t="shared" si="32"/>
        <v>12</v>
      </c>
      <c r="BK45" s="35">
        <f t="shared" si="33"/>
        <v>0</v>
      </c>
      <c r="BL45" s="35">
        <f t="shared" si="34"/>
        <v>0</v>
      </c>
      <c r="BM45" s="35">
        <f t="shared" si="35"/>
        <v>0</v>
      </c>
      <c r="BN45" s="35">
        <f t="shared" si="36"/>
        <v>0</v>
      </c>
      <c r="BO45" s="35">
        <f t="shared" si="37"/>
        <v>0</v>
      </c>
      <c r="BP45" s="137">
        <f t="shared" si="38"/>
        <v>0</v>
      </c>
      <c r="BQ45" s="132">
        <f t="shared" si="105"/>
        <v>13</v>
      </c>
      <c r="BR45" s="137">
        <f t="shared" si="106"/>
        <v>-2</v>
      </c>
      <c r="BS45" s="132">
        <f t="shared" si="107"/>
        <v>0</v>
      </c>
      <c r="BT45" s="35">
        <f t="shared" si="39"/>
        <v>11</v>
      </c>
    </row>
    <row r="46" spans="2:72" ht="12.75">
      <c r="B46" s="132">
        <f t="shared" si="108"/>
        <v>28</v>
      </c>
      <c r="C46" s="161" t="str">
        <f>Teams!B43</f>
        <v>University of Jagoza</v>
      </c>
      <c r="D46" s="137" t="str">
        <f>INDEX(Teams!$B$5:$F$45,MATCH(DummyStandings!$C46,Teams!$B$5:$B$45,0),COLUMN()+1)</f>
        <v>Woodlands</v>
      </c>
      <c r="E46" s="167" t="str">
        <f>INDEX(Teams!$B$5:$H$45,MATCH(DummyStandings!$C46,Teams!$B$5:$B$45,0),6)</f>
        <v>JGZA</v>
      </c>
      <c r="F46" s="137">
        <f t="shared" si="109"/>
        <v>0</v>
      </c>
      <c r="G46" s="34">
        <f>IF(G$40=$E46,0,IF(AND(INDEX(Results!$B$2:$AB$282,MATCH(DummyStandings!G$40&amp;DummyStandings!$E46,Results!$K$2:$K$282,0),11)=DummyStandings!$E46,INDEX(Results!$B$2:$AB$282,MATCH(DummyStandings!$E46&amp;DummyStandings!G$40,Results!$K$2:$K$282,0),11)=DummyStandings!$E46),2,IF(INDEX(Results!$B$2:$AB$282,MATCH(DummyStandings!G$40&amp;DummyStandings!$E46,Results!$K$2:$K$282,0),11)=DummyStandings!$E46,1,IF(INDEX(Results!$B$2:$AB$282,MATCH(DummyStandings!$E46&amp;DummyStandings!G$40,Results!$K$2:$K$282,0),11)=DummyStandings!$E46,1,0))))</f>
        <v>1</v>
      </c>
      <c r="H46" s="35">
        <f>IF(H$40=$E46,0,INDEX(Results!$B$2:$O$282,MATCH(DummyStandings!$E46&amp;DummyStandings!H$40,Results!$K$2:$K$282,0),3)-INDEX(Results!$B$2:$O$282,MATCH(DummyStandings!$E46&amp;DummyStandings!H$40,Results!$K$2:$K$282,0),4))</f>
        <v>-14</v>
      </c>
      <c r="I46" s="137">
        <f t="shared" si="110"/>
        <v>0</v>
      </c>
      <c r="J46" s="34">
        <f>IF(J$40=$E46,0,IF(AND(INDEX(Results!$B$2:$AB$282,MATCH(DummyStandings!J$40&amp;DummyStandings!$E46,Results!$K$2:$K$282,0),11)=DummyStandings!$E46,INDEX(Results!$B$2:$AB$282,MATCH(DummyStandings!$E46&amp;DummyStandings!J$40,Results!$K$2:$K$282,0),11)=DummyStandings!$E46),2,IF(INDEX(Results!$B$2:$AB$282,MATCH(DummyStandings!J$40&amp;DummyStandings!$E46,Results!$K$2:$K$282,0),11)=DummyStandings!$E46,1,IF(INDEX(Results!$B$2:$AB$282,MATCH(DummyStandings!$E46&amp;DummyStandings!J$40,Results!$K$2:$K$282,0),11)=DummyStandings!$E46,1,0))))</f>
        <v>0</v>
      </c>
      <c r="K46" s="35">
        <f>IF(K$40=$E46,0,INDEX(Results!$B$2:$O$282,MATCH(DummyStandings!$E46&amp;DummyStandings!K$40,Results!$K$2:$K$282,0),3)-INDEX(Results!$B$2:$O$282,MATCH(DummyStandings!$E46&amp;DummyStandings!K$40,Results!$K$2:$K$282,0),4))</f>
        <v>-10</v>
      </c>
      <c r="L46" s="137">
        <f t="shared" si="111"/>
        <v>0</v>
      </c>
      <c r="M46" s="34">
        <f>IF(M$40=$E46,0,IF(AND(INDEX(Results!$B$2:$AB$282,MATCH(DummyStandings!M$40&amp;DummyStandings!$E46,Results!$K$2:$K$282,0),11)=DummyStandings!$E46,INDEX(Results!$B$2:$AB$282,MATCH(DummyStandings!$E46&amp;DummyStandings!M$40,Results!$K$2:$K$282,0),11)=DummyStandings!$E46),2,IF(INDEX(Results!$B$2:$AB$282,MATCH(DummyStandings!M$40&amp;DummyStandings!$E46,Results!$K$2:$K$282,0),11)=DummyStandings!$E46,1,IF(INDEX(Results!$B$2:$AB$282,MATCH(DummyStandings!$E46&amp;DummyStandings!M$40,Results!$K$2:$K$282,0),11)=DummyStandings!$E46,1,0))))</f>
        <v>2</v>
      </c>
      <c r="N46" s="35">
        <f>IF(N$40=$E46,0,INDEX(Results!$B$2:$O$282,MATCH(DummyStandings!$E46&amp;DummyStandings!N$40,Results!$K$2:$K$282,0),3)-INDEX(Results!$B$2:$O$282,MATCH(DummyStandings!$E46&amp;DummyStandings!N$40,Results!$K$2:$K$282,0),4))</f>
        <v>51</v>
      </c>
      <c r="O46" s="137">
        <f t="shared" si="112"/>
        <v>0</v>
      </c>
      <c r="P46" s="34">
        <f>IF(P$40=$E46,0,IF(AND(INDEX(Results!$B$2:$AB$282,MATCH(DummyStandings!P$40&amp;DummyStandings!$E46,Results!$K$2:$K$282,0),11)=DummyStandings!$E46,INDEX(Results!$B$2:$AB$282,MATCH(DummyStandings!$E46&amp;DummyStandings!P$40,Results!$K$2:$K$282,0),11)=DummyStandings!$E46),2,IF(INDEX(Results!$B$2:$AB$282,MATCH(DummyStandings!P$40&amp;DummyStandings!$E46,Results!$K$2:$K$282,0),11)=DummyStandings!$E46,1,IF(INDEX(Results!$B$2:$AB$282,MATCH(DummyStandings!$E46&amp;DummyStandings!P$40,Results!$K$2:$K$282,0),11)=DummyStandings!$E46,1,0))))</f>
        <v>0</v>
      </c>
      <c r="Q46" s="35">
        <f>IF(Q$40=$E46,0,INDEX(Results!$B$2:$O$282,MATCH(DummyStandings!$E46&amp;DummyStandings!Q$40,Results!$K$2:$K$282,0),3)-INDEX(Results!$B$2:$O$282,MATCH(DummyStandings!$E46&amp;DummyStandings!Q$40,Results!$K$2:$K$282,0),4))</f>
        <v>-8</v>
      </c>
      <c r="R46" s="137">
        <f t="shared" si="113"/>
        <v>0</v>
      </c>
      <c r="S46" s="34">
        <f>IF(S$40=$E46,0,IF(AND(INDEX(Results!$B$2:$AB$282,MATCH(DummyStandings!S$40&amp;DummyStandings!$E46,Results!$K$2:$K$282,0),11)=DummyStandings!$E46,INDEX(Results!$B$2:$AB$282,MATCH(DummyStandings!$E46&amp;DummyStandings!S$40,Results!$K$2:$K$282,0),11)=DummyStandings!$E46),2,IF(INDEX(Results!$B$2:$AB$282,MATCH(DummyStandings!S$40&amp;DummyStandings!$E46,Results!$K$2:$K$282,0),11)=DummyStandings!$E46,1,IF(INDEX(Results!$B$2:$AB$282,MATCH(DummyStandings!$E46&amp;DummyStandings!S$40,Results!$K$2:$K$282,0),11)=DummyStandings!$E46,1,0))))</f>
        <v>0</v>
      </c>
      <c r="T46" s="35">
        <f>IF(T$40=$E46,0,INDEX(Results!$B$2:$O$282,MATCH(DummyStandings!$E46&amp;DummyStandings!T$40,Results!$K$2:$K$282,0),3)-INDEX(Results!$B$2:$O$282,MATCH(DummyStandings!$E46&amp;DummyStandings!T$40,Results!$K$2:$K$282,0),4))</f>
        <v>-9</v>
      </c>
      <c r="U46" s="137">
        <f t="shared" si="114"/>
        <v>0</v>
      </c>
      <c r="V46" s="34">
        <f>IF(V$40=$E46,0,IF(AND(INDEX(Results!$B$2:$AB$282,MATCH(DummyStandings!V$40&amp;DummyStandings!$E46,Results!$K$2:$K$282,0),11)=DummyStandings!$E46,INDEX(Results!$B$2:$AB$282,MATCH(DummyStandings!$E46&amp;DummyStandings!V$40,Results!$K$2:$K$282,0),11)=DummyStandings!$E46),2,IF(INDEX(Results!$B$2:$AB$282,MATCH(DummyStandings!V$40&amp;DummyStandings!$E46,Results!$K$2:$K$282,0),11)=DummyStandings!$E46,1,IF(INDEX(Results!$B$2:$AB$282,MATCH(DummyStandings!$E46&amp;DummyStandings!V$40,Results!$K$2:$K$282,0),11)=DummyStandings!$E46,1,0))))</f>
        <v>0</v>
      </c>
      <c r="W46" s="35">
        <f>IF(W$40=$E46,0,INDEX(Results!$B$2:$O$282,MATCH(DummyStandings!$E46&amp;DummyStandings!W$40,Results!$K$2:$K$282,0),3)-INDEX(Results!$B$2:$O$282,MATCH(DummyStandings!$E46&amp;DummyStandings!W$40,Results!$K$2:$K$282,0),4))</f>
        <v>0</v>
      </c>
      <c r="X46" s="137">
        <f t="shared" si="115"/>
        <v>0</v>
      </c>
      <c r="Y46" s="34">
        <f>IF(Y$40=$E46,0,IF(AND(INDEX(Results!$B$2:$AB$282,MATCH(DummyStandings!Y$40&amp;DummyStandings!$E46,Results!$K$2:$K$282,0),11)=DummyStandings!$E46,INDEX(Results!$B$2:$AB$282,MATCH(DummyStandings!$E46&amp;DummyStandings!Y$40,Results!$K$2:$K$282,0),11)=DummyStandings!$E46),2,IF(INDEX(Results!$B$2:$AB$282,MATCH(DummyStandings!Y$40&amp;DummyStandings!$E46,Results!$K$2:$K$282,0),11)=DummyStandings!$E46,1,IF(INDEX(Results!$B$2:$AB$282,MATCH(DummyStandings!$E46&amp;DummyStandings!Y$40,Results!$K$2:$K$282,0),11)=DummyStandings!$E46,1,0))))</f>
        <v>0</v>
      </c>
      <c r="Z46" s="35">
        <f>IF(Z$40=$E46,0,INDEX(Results!$B$2:$O$282,MATCH(DummyStandings!$E46&amp;DummyStandings!Z$40,Results!$K$2:$K$282,0),3)-INDEX(Results!$B$2:$O$282,MATCH(DummyStandings!$E46&amp;DummyStandings!Z$40,Results!$K$2:$K$282,0),4))</f>
        <v>-2</v>
      </c>
      <c r="AA46" s="137">
        <f t="shared" si="116"/>
        <v>0</v>
      </c>
      <c r="AB46" s="34">
        <f>IF(AB$40=$E46,0,IF(AND(INDEX(Results!$B$2:$AB$282,MATCH(DummyStandings!AB$40&amp;DummyStandings!$E46,Results!$K$2:$K$282,0),11)=DummyStandings!$E46,INDEX(Results!$B$2:$AB$282,MATCH(DummyStandings!$E46&amp;DummyStandings!AB$40,Results!$K$2:$K$282,0),11)=DummyStandings!$E46),2,IF(INDEX(Results!$B$2:$AB$282,MATCH(DummyStandings!AB$40&amp;DummyStandings!$E46,Results!$K$2:$K$282,0),11)=DummyStandings!$E46,1,IF(INDEX(Results!$B$2:$AB$282,MATCH(DummyStandings!$E46&amp;DummyStandings!AB$40,Results!$K$2:$K$282,0),11)=DummyStandings!$E46,1,0))))</f>
        <v>2</v>
      </c>
      <c r="AC46" s="35">
        <f>IF(AC$40=$E46,0,INDEX(Results!$B$2:$O$282,MATCH(DummyStandings!$E46&amp;DummyStandings!AC$40,Results!$K$2:$K$282,0),3)-INDEX(Results!$B$2:$O$282,MATCH(DummyStandings!$E46&amp;DummyStandings!AC$40,Results!$K$2:$K$282,0),4))</f>
        <v>12</v>
      </c>
      <c r="AD46" s="132">
        <f t="shared" si="117"/>
        <v>0</v>
      </c>
      <c r="AE46" s="137">
        <f t="shared" si="117"/>
        <v>0</v>
      </c>
      <c r="AF46" s="137">
        <f t="shared" si="100"/>
        <v>24</v>
      </c>
      <c r="AG46" s="132">
        <f t="shared" si="19"/>
        <v>4</v>
      </c>
      <c r="AH46" s="34">
        <f t="shared" si="101"/>
        <v>0</v>
      </c>
      <c r="AI46" s="137">
        <f t="shared" si="102"/>
        <v>0</v>
      </c>
      <c r="AJ46" s="137">
        <f t="shared" si="103"/>
        <v>0</v>
      </c>
      <c r="AK46" s="137">
        <f t="shared" si="104"/>
        <v>0</v>
      </c>
      <c r="AL46" s="132">
        <f t="shared" si="20"/>
        <v>0</v>
      </c>
      <c r="AM46" s="34">
        <f t="shared" si="21"/>
        <v>14</v>
      </c>
      <c r="AN46" s="34">
        <f t="shared" si="22"/>
        <v>5</v>
      </c>
      <c r="AO46" s="34">
        <f t="shared" si="23"/>
        <v>9</v>
      </c>
      <c r="AP46" s="34">
        <f t="shared" si="24"/>
        <v>258</v>
      </c>
      <c r="AQ46" s="34">
        <f t="shared" si="25"/>
        <v>271</v>
      </c>
      <c r="AR46" s="34">
        <f t="shared" si="26"/>
        <v>-13</v>
      </c>
      <c r="AS46" s="137">
        <f t="shared" si="27"/>
        <v>7</v>
      </c>
      <c r="AT46" s="34">
        <f>SUMPRODUCT((Results!$C$3:$C$282=DummyStandings!$C46)*(Results!$D$3:$D$282&gt;Results!$E$3:$E$282))</f>
        <v>2</v>
      </c>
      <c r="AU46" s="34">
        <f>SUMPRODUCT((Results!$C$3:$C$282=DummyStandings!$C46)*(Results!$D$3:$D$282&lt;Results!$E$3:$E$282))</f>
        <v>5</v>
      </c>
      <c r="AV46" s="34">
        <f>SUMIF(Results!$C$3:$C$282,$C46,Results!$D$3:$D$282)</f>
        <v>134</v>
      </c>
      <c r="AW46" s="34">
        <f>SUMIF(Results!$C$3:$C$282,$C46,Results!$E$3:$E$282)</f>
        <v>114</v>
      </c>
      <c r="AX46" s="34">
        <f t="shared" si="28"/>
        <v>20</v>
      </c>
      <c r="AY46" s="137">
        <f t="shared" si="29"/>
        <v>7</v>
      </c>
      <c r="AZ46" s="34">
        <f>SUMPRODUCT((Results!$F$3:$F$282=DummyStandings!$C46)*(Results!$E$3:$E$282&gt;Results!$D$3:$D$282))</f>
        <v>3</v>
      </c>
      <c r="BA46" s="34">
        <f>SUMPRODUCT((Results!$F$3:$F$282=DummyStandings!$C46)*(Results!$E$3:$E$282&lt;Results!$D$3:$D$282))</f>
        <v>4</v>
      </c>
      <c r="BB46" s="34">
        <f>SUMIF(Results!$F$3:$F$282,$C46,Results!$E$3:$E$282)</f>
        <v>124</v>
      </c>
      <c r="BC46" s="34">
        <f>SUMIF(Results!$F$3:$F$282,$C46,Results!$D$3:$D$282)</f>
        <v>157</v>
      </c>
      <c r="BD46" s="35">
        <f t="shared" si="30"/>
        <v>-33</v>
      </c>
      <c r="BE46" s="34">
        <f>INDEX(Teams!$B$5:$H$45,MATCH(DummyStandings!E46,Teams!$G$5:$G$45,0),7)</f>
        <v>32</v>
      </c>
      <c r="BF46" s="272">
        <f t="shared" si="40"/>
        <v>0.3857142857142857</v>
      </c>
      <c r="BG46" s="275">
        <f t="shared" si="31"/>
        <v>0.3728571428571429</v>
      </c>
      <c r="BH46" s="275">
        <f t="shared" si="41"/>
        <v>0.3814285714285714</v>
      </c>
      <c r="BI46" s="34">
        <v>1</v>
      </c>
      <c r="BJ46" s="132">
        <f t="shared" si="32"/>
        <v>21</v>
      </c>
      <c r="BK46" s="35">
        <f t="shared" si="33"/>
        <v>1</v>
      </c>
      <c r="BL46" s="35">
        <f t="shared" si="34"/>
        <v>0</v>
      </c>
      <c r="BM46" s="35">
        <f t="shared" si="35"/>
        <v>0</v>
      </c>
      <c r="BN46" s="35">
        <f t="shared" si="36"/>
        <v>0</v>
      </c>
      <c r="BO46" s="35">
        <f t="shared" si="37"/>
        <v>0</v>
      </c>
      <c r="BP46" s="137">
        <f t="shared" si="38"/>
        <v>0</v>
      </c>
      <c r="BQ46" s="132">
        <f t="shared" si="105"/>
        <v>23</v>
      </c>
      <c r="BR46" s="137">
        <f t="shared" si="106"/>
        <v>5</v>
      </c>
      <c r="BS46" s="132">
        <f t="shared" si="107"/>
        <v>0</v>
      </c>
      <c r="BT46" s="35">
        <f t="shared" si="39"/>
        <v>24</v>
      </c>
    </row>
    <row r="47" spans="2:72" ht="12.75">
      <c r="B47" s="132">
        <f t="shared" si="108"/>
        <v>8</v>
      </c>
      <c r="C47" s="161" t="str">
        <f>Teams!B44</f>
        <v>University of Utica</v>
      </c>
      <c r="D47" s="137" t="str">
        <f>INDEX(Teams!$B$5:$F$45,MATCH(DummyStandings!$C47,Teams!$B$5:$B$45,0),COLUMN()+1)</f>
        <v>Woodlands</v>
      </c>
      <c r="E47" s="167" t="str">
        <f>INDEX(Teams!$B$5:$H$45,MATCH(DummyStandings!$C47,Teams!$B$5:$B$45,0),6)</f>
        <v>UTCA</v>
      </c>
      <c r="F47" s="137">
        <f t="shared" si="109"/>
        <v>0</v>
      </c>
      <c r="G47" s="34">
        <f>IF(G$40=$E47,0,IF(AND(INDEX(Results!$B$2:$AB$282,MATCH(DummyStandings!G$40&amp;DummyStandings!$E47,Results!$K$2:$K$282,0),11)=DummyStandings!$E47,INDEX(Results!$B$2:$AB$282,MATCH(DummyStandings!$E47&amp;DummyStandings!G$40,Results!$K$2:$K$282,0),11)=DummyStandings!$E47),2,IF(INDEX(Results!$B$2:$AB$282,MATCH(DummyStandings!G$40&amp;DummyStandings!$E47,Results!$K$2:$K$282,0),11)=DummyStandings!$E47,1,IF(INDEX(Results!$B$2:$AB$282,MATCH(DummyStandings!$E47&amp;DummyStandings!G$40,Results!$K$2:$K$282,0),11)=DummyStandings!$E47,1,0))))</f>
        <v>1</v>
      </c>
      <c r="H47" s="35">
        <f>IF(H$40=$E47,0,INDEX(Results!$B$2:$O$282,MATCH(DummyStandings!$E47&amp;DummyStandings!H$40,Results!$K$2:$K$282,0),3)-INDEX(Results!$B$2:$O$282,MATCH(DummyStandings!$E47&amp;DummyStandings!H$40,Results!$K$2:$K$282,0),4))</f>
        <v>14</v>
      </c>
      <c r="I47" s="137">
        <f t="shared" si="110"/>
        <v>1</v>
      </c>
      <c r="J47" s="34">
        <f>IF(J$40=$E47,0,IF(AND(INDEX(Results!$B$2:$AB$282,MATCH(DummyStandings!J$40&amp;DummyStandings!$E47,Results!$K$2:$K$282,0),11)=DummyStandings!$E47,INDEX(Results!$B$2:$AB$282,MATCH(DummyStandings!$E47&amp;DummyStandings!J$40,Results!$K$2:$K$282,0),11)=DummyStandings!$E47),2,IF(INDEX(Results!$B$2:$AB$282,MATCH(DummyStandings!J$40&amp;DummyStandings!$E47,Results!$K$2:$K$282,0),11)=DummyStandings!$E47,1,IF(INDEX(Results!$B$2:$AB$282,MATCH(DummyStandings!$E47&amp;DummyStandings!J$40,Results!$K$2:$K$282,0),11)=DummyStandings!$E47,1,0))))</f>
        <v>2</v>
      </c>
      <c r="K47" s="35">
        <f>IF(K$40=$E47,0,INDEX(Results!$B$2:$O$282,MATCH(DummyStandings!$E47&amp;DummyStandings!K$40,Results!$K$2:$K$282,0),3)-INDEX(Results!$B$2:$O$282,MATCH(DummyStandings!$E47&amp;DummyStandings!K$40,Results!$K$2:$K$282,0),4))</f>
        <v>6</v>
      </c>
      <c r="L47" s="137">
        <f t="shared" si="111"/>
        <v>0</v>
      </c>
      <c r="M47" s="34">
        <f>IF(M$40=$E47,0,IF(AND(INDEX(Results!$B$2:$AB$282,MATCH(DummyStandings!M$40&amp;DummyStandings!$E47,Results!$K$2:$K$282,0),11)=DummyStandings!$E47,INDEX(Results!$B$2:$AB$282,MATCH(DummyStandings!$E47&amp;DummyStandings!M$40,Results!$K$2:$K$282,0),11)=DummyStandings!$E47),2,IF(INDEX(Results!$B$2:$AB$282,MATCH(DummyStandings!M$40&amp;DummyStandings!$E47,Results!$K$2:$K$282,0),11)=DummyStandings!$E47,1,IF(INDEX(Results!$B$2:$AB$282,MATCH(DummyStandings!$E47&amp;DummyStandings!M$40,Results!$K$2:$K$282,0),11)=DummyStandings!$E47,1,0))))</f>
        <v>2</v>
      </c>
      <c r="N47" s="35">
        <f>IF(N$40=$E47,0,INDEX(Results!$B$2:$O$282,MATCH(DummyStandings!$E47&amp;DummyStandings!N$40,Results!$K$2:$K$282,0),3)-INDEX(Results!$B$2:$O$282,MATCH(DummyStandings!$E47&amp;DummyStandings!N$40,Results!$K$2:$K$282,0),4))</f>
        <v>19</v>
      </c>
      <c r="O47" s="137">
        <f t="shared" si="112"/>
        <v>0</v>
      </c>
      <c r="P47" s="34">
        <f>IF(P$40=$E47,0,IF(AND(INDEX(Results!$B$2:$AB$282,MATCH(DummyStandings!P$40&amp;DummyStandings!$E47,Results!$K$2:$K$282,0),11)=DummyStandings!$E47,INDEX(Results!$B$2:$AB$282,MATCH(DummyStandings!$E47&amp;DummyStandings!P$40,Results!$K$2:$K$282,0),11)=DummyStandings!$E47),2,IF(INDEX(Results!$B$2:$AB$282,MATCH(DummyStandings!P$40&amp;DummyStandings!$E47,Results!$K$2:$K$282,0),11)=DummyStandings!$E47,1,IF(INDEX(Results!$B$2:$AB$282,MATCH(DummyStandings!$E47&amp;DummyStandings!P$40,Results!$K$2:$K$282,0),11)=DummyStandings!$E47,1,0))))</f>
        <v>1</v>
      </c>
      <c r="Q47" s="35">
        <f>IF(Q$40=$E47,0,INDEX(Results!$B$2:$O$282,MATCH(DummyStandings!$E47&amp;DummyStandings!Q$40,Results!$K$2:$K$282,0),3)-INDEX(Results!$B$2:$O$282,MATCH(DummyStandings!$E47&amp;DummyStandings!Q$40,Results!$K$2:$K$282,0),4))</f>
        <v>12</v>
      </c>
      <c r="R47" s="137">
        <f t="shared" si="113"/>
        <v>0</v>
      </c>
      <c r="S47" s="34">
        <f>IF(S$40=$E47,0,IF(AND(INDEX(Results!$B$2:$AB$282,MATCH(DummyStandings!S$40&amp;DummyStandings!$E47,Results!$K$2:$K$282,0),11)=DummyStandings!$E47,INDEX(Results!$B$2:$AB$282,MATCH(DummyStandings!$E47&amp;DummyStandings!S$40,Results!$K$2:$K$282,0),11)=DummyStandings!$E47),2,IF(INDEX(Results!$B$2:$AB$282,MATCH(DummyStandings!S$40&amp;DummyStandings!$E47,Results!$K$2:$K$282,0),11)=DummyStandings!$E47,1,IF(INDEX(Results!$B$2:$AB$282,MATCH(DummyStandings!$E47&amp;DummyStandings!S$40,Results!$K$2:$K$282,0),11)=DummyStandings!$E47,1,0))))</f>
        <v>1</v>
      </c>
      <c r="T47" s="35">
        <f>IF(T$40=$E47,0,INDEX(Results!$B$2:$O$282,MATCH(DummyStandings!$E47&amp;DummyStandings!T$40,Results!$K$2:$K$282,0),3)-INDEX(Results!$B$2:$O$282,MATCH(DummyStandings!$E47&amp;DummyStandings!T$40,Results!$K$2:$K$282,0),4))</f>
        <v>41</v>
      </c>
      <c r="U47" s="137">
        <f t="shared" si="114"/>
        <v>0</v>
      </c>
      <c r="V47" s="34">
        <f>IF(V$40=$E47,0,IF(AND(INDEX(Results!$B$2:$AB$282,MATCH(DummyStandings!V$40&amp;DummyStandings!$E47,Results!$K$2:$K$282,0),11)=DummyStandings!$E47,INDEX(Results!$B$2:$AB$282,MATCH(DummyStandings!$E47&amp;DummyStandings!V$40,Results!$K$2:$K$282,0),11)=DummyStandings!$E47),2,IF(INDEX(Results!$B$2:$AB$282,MATCH(DummyStandings!V$40&amp;DummyStandings!$E47,Results!$K$2:$K$282,0),11)=DummyStandings!$E47,1,IF(INDEX(Results!$B$2:$AB$282,MATCH(DummyStandings!$E47&amp;DummyStandings!V$40,Results!$K$2:$K$282,0),11)=DummyStandings!$E47,1,0))))</f>
        <v>2</v>
      </c>
      <c r="W47" s="35">
        <f>IF(W$40=$E47,0,INDEX(Results!$B$2:$O$282,MATCH(DummyStandings!$E47&amp;DummyStandings!W$40,Results!$K$2:$K$282,0),3)-INDEX(Results!$B$2:$O$282,MATCH(DummyStandings!$E47&amp;DummyStandings!W$40,Results!$K$2:$K$282,0),4))</f>
        <v>10</v>
      </c>
      <c r="X47" s="137">
        <f t="shared" si="115"/>
        <v>0</v>
      </c>
      <c r="Y47" s="34">
        <f>IF(Y$40=$E47,0,IF(AND(INDEX(Results!$B$2:$AB$282,MATCH(DummyStandings!Y$40&amp;DummyStandings!$E47,Results!$K$2:$K$282,0),11)=DummyStandings!$E47,INDEX(Results!$B$2:$AB$282,MATCH(DummyStandings!$E47&amp;DummyStandings!Y$40,Results!$K$2:$K$282,0),11)=DummyStandings!$E47),2,IF(INDEX(Results!$B$2:$AB$282,MATCH(DummyStandings!Y$40&amp;DummyStandings!$E47,Results!$K$2:$K$282,0),11)=DummyStandings!$E47,1,IF(INDEX(Results!$B$2:$AB$282,MATCH(DummyStandings!$E47&amp;DummyStandings!Y$40,Results!$K$2:$K$282,0),11)=DummyStandings!$E47,1,0))))</f>
        <v>0</v>
      </c>
      <c r="Z47" s="35">
        <f>IF(Z$40=$E47,0,INDEX(Results!$B$2:$O$282,MATCH(DummyStandings!$E47&amp;DummyStandings!Z$40,Results!$K$2:$K$282,0),3)-INDEX(Results!$B$2:$O$282,MATCH(DummyStandings!$E47&amp;DummyStandings!Z$40,Results!$K$2:$K$282,0),4))</f>
        <v>0</v>
      </c>
      <c r="AA47" s="137">
        <f t="shared" si="116"/>
        <v>0</v>
      </c>
      <c r="AB47" s="34">
        <f>IF(AB$40=$E47,0,IF(AND(INDEX(Results!$B$2:$AB$282,MATCH(DummyStandings!AB$40&amp;DummyStandings!$E47,Results!$K$2:$K$282,0),11)=DummyStandings!$E47,INDEX(Results!$B$2:$AB$282,MATCH(DummyStandings!$E47&amp;DummyStandings!AB$40,Results!$K$2:$K$282,0),11)=DummyStandings!$E47),2,IF(INDEX(Results!$B$2:$AB$282,MATCH(DummyStandings!AB$40&amp;DummyStandings!$E47,Results!$K$2:$K$282,0),11)=DummyStandings!$E47,1,IF(INDEX(Results!$B$2:$AB$282,MATCH(DummyStandings!$E47&amp;DummyStandings!AB$40,Results!$K$2:$K$282,0),11)=DummyStandings!$E47,1,0))))</f>
        <v>2</v>
      </c>
      <c r="AC47" s="35">
        <f>IF(AC$40=$E47,0,INDEX(Results!$B$2:$O$282,MATCH(DummyStandings!$E47&amp;DummyStandings!AC$40,Results!$K$2:$K$282,0),3)-INDEX(Results!$B$2:$O$282,MATCH(DummyStandings!$E47&amp;DummyStandings!AC$40,Results!$K$2:$K$282,0),4))</f>
        <v>50</v>
      </c>
      <c r="AD47" s="132">
        <f t="shared" si="117"/>
        <v>2</v>
      </c>
      <c r="AE47" s="137">
        <f t="shared" si="117"/>
        <v>6</v>
      </c>
      <c r="AF47" s="137">
        <f t="shared" si="100"/>
        <v>8</v>
      </c>
      <c r="AG47" s="132">
        <f t="shared" si="19"/>
        <v>0</v>
      </c>
      <c r="AH47" s="34">
        <f t="shared" si="101"/>
        <v>0</v>
      </c>
      <c r="AI47" s="137">
        <f t="shared" si="102"/>
        <v>0</v>
      </c>
      <c r="AJ47" s="137">
        <f t="shared" si="103"/>
        <v>0</v>
      </c>
      <c r="AK47" s="137">
        <f t="shared" si="104"/>
        <v>0</v>
      </c>
      <c r="AL47" s="132">
        <f t="shared" si="20"/>
        <v>0</v>
      </c>
      <c r="AM47" s="34">
        <f t="shared" si="21"/>
        <v>14</v>
      </c>
      <c r="AN47" s="34">
        <f t="shared" si="22"/>
        <v>11</v>
      </c>
      <c r="AO47" s="34">
        <f t="shared" si="23"/>
        <v>3</v>
      </c>
      <c r="AP47" s="34">
        <f t="shared" si="24"/>
        <v>312</v>
      </c>
      <c r="AQ47" s="34">
        <f t="shared" si="25"/>
        <v>130</v>
      </c>
      <c r="AR47" s="34">
        <f t="shared" si="26"/>
        <v>182</v>
      </c>
      <c r="AS47" s="137">
        <f t="shared" si="27"/>
        <v>7</v>
      </c>
      <c r="AT47" s="34">
        <f>SUMPRODUCT((Results!$C$3:$C$282=DummyStandings!$C47)*(Results!$D$3:$D$282&gt;Results!$E$3:$E$282))</f>
        <v>7</v>
      </c>
      <c r="AU47" s="34">
        <f>SUMPRODUCT((Results!$C$3:$C$282=DummyStandings!$C47)*(Results!$D$3:$D$282&lt;Results!$E$3:$E$282))</f>
        <v>0</v>
      </c>
      <c r="AV47" s="34">
        <f>SUMIF(Results!$C$3:$C$282,$C47,Results!$D$3:$D$282)</f>
        <v>195</v>
      </c>
      <c r="AW47" s="34">
        <f>SUMIF(Results!$C$3:$C$282,$C47,Results!$E$3:$E$282)</f>
        <v>43</v>
      </c>
      <c r="AX47" s="34">
        <f t="shared" si="28"/>
        <v>152</v>
      </c>
      <c r="AY47" s="137">
        <f t="shared" si="29"/>
        <v>7</v>
      </c>
      <c r="AZ47" s="34">
        <f>SUMPRODUCT((Results!$F$3:$F$282=DummyStandings!$C47)*(Results!$E$3:$E$282&gt;Results!$D$3:$D$282))</f>
        <v>4</v>
      </c>
      <c r="BA47" s="34">
        <f>SUMPRODUCT((Results!$F$3:$F$282=DummyStandings!$C47)*(Results!$E$3:$E$282&lt;Results!$D$3:$D$282))</f>
        <v>3</v>
      </c>
      <c r="BB47" s="34">
        <f>SUMIF(Results!$F$3:$F$282,$C47,Results!$E$3:$E$282)</f>
        <v>117</v>
      </c>
      <c r="BC47" s="34">
        <f>SUMIF(Results!$F$3:$F$282,$C47,Results!$D$3:$D$282)</f>
        <v>87</v>
      </c>
      <c r="BD47" s="35">
        <f t="shared" si="30"/>
        <v>30</v>
      </c>
      <c r="BE47" s="34">
        <f>INDEX(Teams!$B$5:$H$45,MATCH(DummyStandings!E47,Teams!$G$5:$G$45,0),7)</f>
        <v>1</v>
      </c>
      <c r="BF47" s="272">
        <f t="shared" si="40"/>
        <v>0.7000000000000001</v>
      </c>
      <c r="BG47" s="275">
        <f t="shared" si="31"/>
        <v>0.3414285714285714</v>
      </c>
      <c r="BH47" s="275">
        <f t="shared" si="41"/>
        <v>0.5804761904761905</v>
      </c>
      <c r="BI47" s="34">
        <v>1</v>
      </c>
      <c r="BJ47" s="132">
        <f t="shared" si="32"/>
        <v>10</v>
      </c>
      <c r="BK47" s="35">
        <f t="shared" si="33"/>
        <v>0</v>
      </c>
      <c r="BL47" s="35">
        <f t="shared" si="34"/>
        <v>0</v>
      </c>
      <c r="BM47" s="35">
        <f t="shared" si="35"/>
        <v>0</v>
      </c>
      <c r="BN47" s="35">
        <f t="shared" si="36"/>
        <v>0</v>
      </c>
      <c r="BO47" s="35">
        <f t="shared" si="37"/>
        <v>0</v>
      </c>
      <c r="BP47" s="137">
        <f t="shared" si="38"/>
        <v>0</v>
      </c>
      <c r="BQ47" s="132">
        <f t="shared" si="105"/>
        <v>11</v>
      </c>
      <c r="BR47" s="137">
        <f t="shared" si="106"/>
        <v>-3</v>
      </c>
      <c r="BS47" s="132">
        <f t="shared" si="107"/>
        <v>0</v>
      </c>
      <c r="BT47" s="35">
        <f t="shared" si="39"/>
        <v>8</v>
      </c>
    </row>
    <row r="48" spans="2:72" ht="13.5" thickBot="1">
      <c r="B48" s="133">
        <f t="shared" si="108"/>
        <v>35</v>
      </c>
      <c r="C48" s="163" t="str">
        <f>Teams!B45</f>
        <v>Walterton University</v>
      </c>
      <c r="D48" s="36" t="str">
        <f>INDEX(Teams!$B$5:$F$45,MATCH(DummyStandings!$C48,Teams!$B$5:$B$45,0),COLUMN()+1)</f>
        <v>Woodlands</v>
      </c>
      <c r="E48" s="168" t="str">
        <f>INDEX(Teams!$B$5:$H$45,MATCH(DummyStandings!$C48,Teams!$B$5:$B$45,0),6)</f>
        <v>WALT</v>
      </c>
      <c r="F48" s="36">
        <f t="shared" si="109"/>
        <v>0</v>
      </c>
      <c r="G48" s="37">
        <f>IF(G$40=$E48,0,IF(AND(INDEX(Results!$B$2:$AB$282,MATCH(DummyStandings!G$40&amp;DummyStandings!$E48,Results!$K$2:$K$282,0),11)=DummyStandings!$E48,INDEX(Results!$B$2:$AB$282,MATCH(DummyStandings!$E48&amp;DummyStandings!G$40,Results!$K$2:$K$282,0),11)=DummyStandings!$E48),2,IF(INDEX(Results!$B$2:$AB$282,MATCH(DummyStandings!G$40&amp;DummyStandings!$E48,Results!$K$2:$K$282,0),11)=DummyStandings!$E48,1,IF(INDEX(Results!$B$2:$AB$282,MATCH(DummyStandings!$E48&amp;DummyStandings!G$40,Results!$K$2:$K$282,0),11)=DummyStandings!$E48,1,0))))</f>
        <v>1</v>
      </c>
      <c r="H48" s="44">
        <f>IF(H$40=$E48,0,INDEX(Results!$B$2:$O$282,MATCH(DummyStandings!$E48&amp;DummyStandings!H$40,Results!$K$2:$K$282,0),3)-INDEX(Results!$B$2:$O$282,MATCH(DummyStandings!$E48&amp;DummyStandings!H$40,Results!$K$2:$K$282,0),4))</f>
        <v>-23</v>
      </c>
      <c r="I48" s="36">
        <f t="shared" si="110"/>
        <v>0</v>
      </c>
      <c r="J48" s="37">
        <f>IF(J$40=$E48,0,IF(AND(INDEX(Results!$B$2:$AB$282,MATCH(DummyStandings!J$40&amp;DummyStandings!$E48,Results!$K$2:$K$282,0),11)=DummyStandings!$E48,INDEX(Results!$B$2:$AB$282,MATCH(DummyStandings!$E48&amp;DummyStandings!J$40,Results!$K$2:$K$282,0),11)=DummyStandings!$E48),2,IF(INDEX(Results!$B$2:$AB$282,MATCH(DummyStandings!J$40&amp;DummyStandings!$E48,Results!$K$2:$K$282,0),11)=DummyStandings!$E48,1,IF(INDEX(Results!$B$2:$AB$282,MATCH(DummyStandings!$E48&amp;DummyStandings!J$40,Results!$K$2:$K$282,0),11)=DummyStandings!$E48,1,0))))</f>
        <v>0</v>
      </c>
      <c r="K48" s="44">
        <f>IF(K$40=$E48,0,INDEX(Results!$B$2:$O$282,MATCH(DummyStandings!$E48&amp;DummyStandings!K$40,Results!$K$2:$K$282,0),3)-INDEX(Results!$B$2:$O$282,MATCH(DummyStandings!$E48&amp;DummyStandings!K$40,Results!$K$2:$K$282,0),4))</f>
        <v>-16</v>
      </c>
      <c r="L48" s="36">
        <f t="shared" si="111"/>
        <v>0</v>
      </c>
      <c r="M48" s="37">
        <f>IF(M$40=$E48,0,IF(AND(INDEX(Results!$B$2:$AB$282,MATCH(DummyStandings!M$40&amp;DummyStandings!$E48,Results!$K$2:$K$282,0),11)=DummyStandings!$E48,INDEX(Results!$B$2:$AB$282,MATCH(DummyStandings!$E48&amp;DummyStandings!M$40,Results!$K$2:$K$282,0),11)=DummyStandings!$E48),2,IF(INDEX(Results!$B$2:$AB$282,MATCH(DummyStandings!M$40&amp;DummyStandings!$E48,Results!$K$2:$K$282,0),11)=DummyStandings!$E48,1,IF(INDEX(Results!$B$2:$AB$282,MATCH(DummyStandings!$E48&amp;DummyStandings!M$40,Results!$K$2:$K$282,0),11)=DummyStandings!$E48,1,0))))</f>
        <v>2</v>
      </c>
      <c r="N48" s="44">
        <f>IF(N$40=$E48,0,INDEX(Results!$B$2:$O$282,MATCH(DummyStandings!$E48&amp;DummyStandings!N$40,Results!$K$2:$K$282,0),3)-INDEX(Results!$B$2:$O$282,MATCH(DummyStandings!$E48&amp;DummyStandings!N$40,Results!$K$2:$K$282,0),4))</f>
        <v>33</v>
      </c>
      <c r="O48" s="36">
        <f t="shared" si="112"/>
        <v>0</v>
      </c>
      <c r="P48" s="37">
        <f>IF(P$40=$E48,0,IF(AND(INDEX(Results!$B$2:$AB$282,MATCH(DummyStandings!P$40&amp;DummyStandings!$E48,Results!$K$2:$K$282,0),11)=DummyStandings!$E48,INDEX(Results!$B$2:$AB$282,MATCH(DummyStandings!$E48&amp;DummyStandings!P$40,Results!$K$2:$K$282,0),11)=DummyStandings!$E48),2,IF(INDEX(Results!$B$2:$AB$282,MATCH(DummyStandings!P$40&amp;DummyStandings!$E48,Results!$K$2:$K$282,0),11)=DummyStandings!$E48,1,IF(INDEX(Results!$B$2:$AB$282,MATCH(DummyStandings!$E48&amp;DummyStandings!P$40,Results!$K$2:$K$282,0),11)=DummyStandings!$E48,1,0))))</f>
        <v>0</v>
      </c>
      <c r="Q48" s="44">
        <f>IF(Q$40=$E48,0,INDEX(Results!$B$2:$O$282,MATCH(DummyStandings!$E48&amp;DummyStandings!Q$40,Results!$K$2:$K$282,0),3)-INDEX(Results!$B$2:$O$282,MATCH(DummyStandings!$E48&amp;DummyStandings!Q$40,Results!$K$2:$K$282,0),4))</f>
        <v>-12</v>
      </c>
      <c r="R48" s="36">
        <f t="shared" si="113"/>
        <v>0</v>
      </c>
      <c r="S48" s="37">
        <f>IF(S$40=$E48,0,IF(AND(INDEX(Results!$B$2:$AB$282,MATCH(DummyStandings!S$40&amp;DummyStandings!$E48,Results!$K$2:$K$282,0),11)=DummyStandings!$E48,INDEX(Results!$B$2:$AB$282,MATCH(DummyStandings!$E48&amp;DummyStandings!S$40,Results!$K$2:$K$282,0),11)=DummyStandings!$E48),2,IF(INDEX(Results!$B$2:$AB$282,MATCH(DummyStandings!S$40&amp;DummyStandings!$E48,Results!$K$2:$K$282,0),11)=DummyStandings!$E48,1,IF(INDEX(Results!$B$2:$AB$282,MATCH(DummyStandings!$E48&amp;DummyStandings!S$40,Results!$K$2:$K$282,0),11)=DummyStandings!$E48,1,0))))</f>
        <v>0</v>
      </c>
      <c r="T48" s="44">
        <f>IF(T$40=$E48,0,INDEX(Results!$B$2:$O$282,MATCH(DummyStandings!$E48&amp;DummyStandings!T$40,Results!$K$2:$K$282,0),3)-INDEX(Results!$B$2:$O$282,MATCH(DummyStandings!$E48&amp;DummyStandings!T$40,Results!$K$2:$K$282,0),4))</f>
        <v>-14</v>
      </c>
      <c r="U48" s="36">
        <f t="shared" si="114"/>
        <v>0</v>
      </c>
      <c r="V48" s="37">
        <f>IF(V$40=$E48,0,IF(AND(INDEX(Results!$B$2:$AB$282,MATCH(DummyStandings!V$40&amp;DummyStandings!$E48,Results!$K$2:$K$282,0),11)=DummyStandings!$E48,INDEX(Results!$B$2:$AB$282,MATCH(DummyStandings!$E48&amp;DummyStandings!V$40,Results!$K$2:$K$282,0),11)=DummyStandings!$E48),2,IF(INDEX(Results!$B$2:$AB$282,MATCH(DummyStandings!V$40&amp;DummyStandings!$E48,Results!$K$2:$K$282,0),11)=DummyStandings!$E48,1,IF(INDEX(Results!$B$2:$AB$282,MATCH(DummyStandings!$E48&amp;DummyStandings!V$40,Results!$K$2:$K$282,0),11)=DummyStandings!$E48,1,0))))</f>
        <v>0</v>
      </c>
      <c r="W48" s="44">
        <f>IF(W$40=$E48,0,INDEX(Results!$B$2:$O$282,MATCH(DummyStandings!$E48&amp;DummyStandings!W$40,Results!$K$2:$K$282,0),3)-INDEX(Results!$B$2:$O$282,MATCH(DummyStandings!$E48&amp;DummyStandings!W$40,Results!$K$2:$K$282,0),4))</f>
        <v>-42</v>
      </c>
      <c r="X48" s="36">
        <f t="shared" si="115"/>
        <v>0</v>
      </c>
      <c r="Y48" s="37">
        <f>IF(Y$40=$E48,0,IF(AND(INDEX(Results!$B$2:$AB$282,MATCH(DummyStandings!Y$40&amp;DummyStandings!$E48,Results!$K$2:$K$282,0),11)=DummyStandings!$E48,INDEX(Results!$B$2:$AB$282,MATCH(DummyStandings!$E48&amp;DummyStandings!Y$40,Results!$K$2:$K$282,0),11)=DummyStandings!$E48),2,IF(INDEX(Results!$B$2:$AB$282,MATCH(DummyStandings!Y$40&amp;DummyStandings!$E48,Results!$K$2:$K$282,0),11)=DummyStandings!$E48,1,IF(INDEX(Results!$B$2:$AB$282,MATCH(DummyStandings!$E48&amp;DummyStandings!Y$40,Results!$K$2:$K$282,0),11)=DummyStandings!$E48,1,0))))</f>
        <v>0</v>
      </c>
      <c r="Z48" s="44">
        <f>IF(Z$40=$E48,0,INDEX(Results!$B$2:$O$282,MATCH(DummyStandings!$E48&amp;DummyStandings!Z$40,Results!$K$2:$K$282,0),3)-INDEX(Results!$B$2:$O$282,MATCH(DummyStandings!$E48&amp;DummyStandings!Z$40,Results!$K$2:$K$282,0),4))</f>
        <v>-15</v>
      </c>
      <c r="AA48" s="36">
        <f t="shared" si="116"/>
        <v>0</v>
      </c>
      <c r="AB48" s="37">
        <f>IF(AB$40=$E48,0,IF(AND(INDEX(Results!$B$2:$AB$282,MATCH(DummyStandings!AB$40&amp;DummyStandings!$E48,Results!$K$2:$K$282,0),11)=DummyStandings!$E48,INDEX(Results!$B$2:$AB$282,MATCH(DummyStandings!$E48&amp;DummyStandings!AB$40,Results!$K$2:$K$282,0),11)=DummyStandings!$E48),2,IF(INDEX(Results!$B$2:$AB$282,MATCH(DummyStandings!AB$40&amp;DummyStandings!$E48,Results!$K$2:$K$282,0),11)=DummyStandings!$E48,1,IF(INDEX(Results!$B$2:$AB$282,MATCH(DummyStandings!$E48&amp;DummyStandings!AB$40,Results!$K$2:$K$282,0),11)=DummyStandings!$E48,1,0))))</f>
        <v>0</v>
      </c>
      <c r="AC48" s="44">
        <f>IF(AC$40=$E48,0,INDEX(Results!$B$2:$O$282,MATCH(DummyStandings!$E48&amp;DummyStandings!AC$40,Results!$K$2:$K$282,0),3)-INDEX(Results!$B$2:$O$282,MATCH(DummyStandings!$E48&amp;DummyStandings!AC$40,Results!$K$2:$K$282,0),4))</f>
        <v>0</v>
      </c>
      <c r="AD48" s="133">
        <f t="shared" si="117"/>
        <v>0</v>
      </c>
      <c r="AE48" s="36">
        <f t="shared" si="117"/>
        <v>0</v>
      </c>
      <c r="AF48" s="36">
        <f t="shared" si="100"/>
        <v>32</v>
      </c>
      <c r="AG48" s="133">
        <f t="shared" si="19"/>
        <v>1</v>
      </c>
      <c r="AH48" s="37">
        <f t="shared" si="101"/>
        <v>0</v>
      </c>
      <c r="AI48" s="36">
        <f t="shared" si="102"/>
        <v>2</v>
      </c>
      <c r="AJ48" s="36">
        <f t="shared" si="103"/>
        <v>0</v>
      </c>
      <c r="AK48" s="36">
        <f t="shared" si="104"/>
        <v>0</v>
      </c>
      <c r="AL48" s="133">
        <f t="shared" si="20"/>
        <v>0</v>
      </c>
      <c r="AM48" s="37">
        <f t="shared" si="21"/>
        <v>14</v>
      </c>
      <c r="AN48" s="37">
        <f t="shared" si="22"/>
        <v>3</v>
      </c>
      <c r="AO48" s="37">
        <f t="shared" si="23"/>
        <v>11</v>
      </c>
      <c r="AP48" s="37">
        <f t="shared" si="24"/>
        <v>174</v>
      </c>
      <c r="AQ48" s="37">
        <f t="shared" si="25"/>
        <v>333</v>
      </c>
      <c r="AR48" s="37">
        <f t="shared" si="26"/>
        <v>-159</v>
      </c>
      <c r="AS48" s="36">
        <f t="shared" si="27"/>
        <v>7</v>
      </c>
      <c r="AT48" s="37">
        <f>SUMPRODUCT((Results!$C$3:$C$282=DummyStandings!$C48)*(Results!$D$3:$D$282&gt;Results!$E$3:$E$282))</f>
        <v>1</v>
      </c>
      <c r="AU48" s="37">
        <f>SUMPRODUCT((Results!$C$3:$C$282=DummyStandings!$C48)*(Results!$D$3:$D$282&lt;Results!$E$3:$E$282))</f>
        <v>6</v>
      </c>
      <c r="AV48" s="37">
        <f>SUMIF(Results!$C$3:$C$282,$C48,Results!$D$3:$D$282)</f>
        <v>79</v>
      </c>
      <c r="AW48" s="37">
        <f>SUMIF(Results!$C$3:$C$282,$C48,Results!$E$3:$E$282)</f>
        <v>168</v>
      </c>
      <c r="AX48" s="37">
        <f t="shared" si="28"/>
        <v>-89</v>
      </c>
      <c r="AY48" s="36">
        <f t="shared" si="29"/>
        <v>7</v>
      </c>
      <c r="AZ48" s="37">
        <f>SUMPRODUCT((Results!$F$3:$F$282=DummyStandings!$C48)*(Results!$E$3:$E$282&gt;Results!$D$3:$D$282))</f>
        <v>2</v>
      </c>
      <c r="BA48" s="37">
        <f>SUMPRODUCT((Results!$F$3:$F$282=DummyStandings!$C48)*(Results!$E$3:$E$282&lt;Results!$D$3:$D$282))</f>
        <v>5</v>
      </c>
      <c r="BB48" s="37">
        <f>SUMIF(Results!$F$3:$F$282,$C48,Results!$E$3:$E$282)</f>
        <v>95</v>
      </c>
      <c r="BC48" s="37">
        <f>SUMIF(Results!$F$3:$F$282,$C48,Results!$D$3:$D$282)</f>
        <v>165</v>
      </c>
      <c r="BD48" s="44">
        <f t="shared" si="30"/>
        <v>-70</v>
      </c>
      <c r="BE48" s="37">
        <f>INDEX(Teams!$B$5:$H$45,MATCH(DummyStandings!E48,Teams!$G$5:$G$45,0),7)</f>
        <v>38</v>
      </c>
      <c r="BF48" s="277">
        <f t="shared" si="40"/>
        <v>0.24285714285714285</v>
      </c>
      <c r="BG48" s="276">
        <f t="shared" si="31"/>
        <v>0.3871428571428572</v>
      </c>
      <c r="BH48" s="276">
        <f t="shared" si="41"/>
        <v>0.29095238095238096</v>
      </c>
      <c r="BI48" s="37">
        <v>1</v>
      </c>
      <c r="BJ48" s="133">
        <f t="shared" si="32"/>
        <v>29</v>
      </c>
      <c r="BK48" s="44">
        <f t="shared" si="33"/>
        <v>0</v>
      </c>
      <c r="BL48" s="44">
        <f t="shared" si="34"/>
        <v>0</v>
      </c>
      <c r="BM48" s="44">
        <f t="shared" si="35"/>
        <v>0</v>
      </c>
      <c r="BN48" s="44">
        <f t="shared" si="36"/>
        <v>0</v>
      </c>
      <c r="BO48" s="44">
        <f t="shared" si="37"/>
        <v>0</v>
      </c>
      <c r="BP48" s="36">
        <f t="shared" si="38"/>
        <v>0</v>
      </c>
      <c r="BQ48" s="133">
        <f t="shared" si="105"/>
        <v>30</v>
      </c>
      <c r="BR48" s="36">
        <f t="shared" si="106"/>
        <v>5</v>
      </c>
      <c r="BS48" s="133">
        <f t="shared" si="107"/>
        <v>3</v>
      </c>
      <c r="BT48" s="44">
        <f t="shared" si="39"/>
        <v>35</v>
      </c>
    </row>
  </sheetData>
  <sheetProtection selectLockedCells="1" selectUnlockedCells="1"/>
  <mergeCells count="33">
    <mergeCell ref="BR2:BR3"/>
    <mergeCell ref="BS2:BS3"/>
    <mergeCell ref="BT2:BT3"/>
    <mergeCell ref="BN2:BN3"/>
    <mergeCell ref="BO2:BO3"/>
    <mergeCell ref="BP2:BP3"/>
    <mergeCell ref="BQ2:BQ3"/>
    <mergeCell ref="BJ2:BJ3"/>
    <mergeCell ref="BK2:BK3"/>
    <mergeCell ref="BL2:BL3"/>
    <mergeCell ref="BM2:BM3"/>
    <mergeCell ref="BF2:BF3"/>
    <mergeCell ref="BG2:BG3"/>
    <mergeCell ref="BH2:BH3"/>
    <mergeCell ref="BI2:BI3"/>
    <mergeCell ref="F2:AC2"/>
    <mergeCell ref="AY2:BD2"/>
    <mergeCell ref="BE2:BE3"/>
    <mergeCell ref="B2:B3"/>
    <mergeCell ref="C2:C3"/>
    <mergeCell ref="D2:D3"/>
    <mergeCell ref="E2:E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R2"/>
    <mergeCell ref="AS2:AX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9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9" sqref="D9"/>
    </sheetView>
  </sheetViews>
  <sheetFormatPr defaultColWidth="9.140625" defaultRowHeight="12.75"/>
  <cols>
    <col min="1" max="1" width="1.421875" style="61" customWidth="1"/>
    <col min="2" max="2" width="4.28125" style="2" customWidth="1"/>
    <col min="3" max="3" width="39.00390625" style="2" bestFit="1" customWidth="1"/>
    <col min="4" max="4" width="5.57421875" style="2" bestFit="1" customWidth="1"/>
    <col min="5" max="5" width="11.28125" style="2" bestFit="1" customWidth="1"/>
    <col min="6" max="23" width="5.140625" style="2" customWidth="1"/>
    <col min="24" max="29" width="9.140625" style="61" customWidth="1"/>
    <col min="30" max="16384" width="9.140625" style="2" customWidth="1"/>
  </cols>
  <sheetData>
    <row r="1" spans="2:23" ht="7.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2:23" ht="11.25">
      <c r="B2" s="355" t="s">
        <v>10</v>
      </c>
      <c r="C2" s="355" t="s">
        <v>9</v>
      </c>
      <c r="D2" s="353" t="s">
        <v>30</v>
      </c>
      <c r="E2" s="353" t="s">
        <v>18</v>
      </c>
      <c r="F2" s="357" t="s">
        <v>31</v>
      </c>
      <c r="G2" s="358"/>
      <c r="H2" s="358"/>
      <c r="I2" s="358"/>
      <c r="J2" s="358"/>
      <c r="K2" s="359"/>
      <c r="L2" s="350" t="s">
        <v>7</v>
      </c>
      <c r="M2" s="351"/>
      <c r="N2" s="351"/>
      <c r="O2" s="351"/>
      <c r="P2" s="351"/>
      <c r="Q2" s="352"/>
      <c r="R2" s="350" t="s">
        <v>6</v>
      </c>
      <c r="S2" s="351"/>
      <c r="T2" s="351"/>
      <c r="U2" s="351"/>
      <c r="V2" s="351"/>
      <c r="W2" s="352"/>
    </row>
    <row r="3" spans="2:23" ht="12" thickBot="1">
      <c r="B3" s="356"/>
      <c r="C3" s="356"/>
      <c r="D3" s="354"/>
      <c r="E3" s="354"/>
      <c r="F3" s="6" t="s">
        <v>1</v>
      </c>
      <c r="G3" s="17" t="s">
        <v>2</v>
      </c>
      <c r="H3" s="17" t="s">
        <v>3</v>
      </c>
      <c r="I3" s="17" t="s">
        <v>4</v>
      </c>
      <c r="J3" s="17" t="s">
        <v>5</v>
      </c>
      <c r="K3" s="8" t="s">
        <v>8</v>
      </c>
      <c r="L3" s="25" t="s">
        <v>1</v>
      </c>
      <c r="M3" s="21" t="s">
        <v>2</v>
      </c>
      <c r="N3" s="21" t="s">
        <v>3</v>
      </c>
      <c r="O3" s="21" t="s">
        <v>4</v>
      </c>
      <c r="P3" s="21" t="s">
        <v>5</v>
      </c>
      <c r="Q3" s="22" t="s">
        <v>8</v>
      </c>
      <c r="R3" s="25" t="s">
        <v>1</v>
      </c>
      <c r="S3" s="21" t="s">
        <v>2</v>
      </c>
      <c r="T3" s="21" t="s">
        <v>3</v>
      </c>
      <c r="U3" s="21" t="s">
        <v>4</v>
      </c>
      <c r="V3" s="21" t="s">
        <v>5</v>
      </c>
      <c r="W3" s="22" t="s">
        <v>8</v>
      </c>
    </row>
    <row r="4" spans="2:23" ht="11.25">
      <c r="B4" s="47">
        <v>1</v>
      </c>
      <c r="C4" s="127" t="str">
        <f>VLOOKUP(Standings!$B4,DummyStandings!$B$5:$BD$48,2,FALSE)</f>
        <v>University of Port Salem</v>
      </c>
      <c r="D4" s="123">
        <f aca="true" t="shared" si="0" ref="D4:D30">1+SUMPRODUCT(($E$4:$E$43=$E4)*($B$4:$B$43&lt;$B4))</f>
        <v>1</v>
      </c>
      <c r="E4" s="122" t="str">
        <f>VLOOKUP(Standings!$B4,DummyStandings!$B$5:$BD$48,3,FALSE)</f>
        <v>Mineral</v>
      </c>
      <c r="F4" s="7">
        <f>VLOOKUP(Standings!$B4,DummyStandings!$B$5:$BD$48,COLUMN()+32,FALSE)</f>
        <v>14</v>
      </c>
      <c r="G4" s="18">
        <f>VLOOKUP(Standings!$B4,DummyStandings!$B$5:$BD$48,COLUMN()+32,FALSE)</f>
        <v>14</v>
      </c>
      <c r="H4" s="18">
        <f>VLOOKUP(Standings!$B4,DummyStandings!$B$5:$BD$48,COLUMN()+32,FALSE)</f>
        <v>0</v>
      </c>
      <c r="I4" s="18">
        <f>VLOOKUP(Standings!$B4,DummyStandings!$B$5:$BD$48,COLUMN()+32,FALSE)</f>
        <v>387</v>
      </c>
      <c r="J4" s="18">
        <f>VLOOKUP(Standings!$B4,DummyStandings!$B$5:$BD$48,COLUMN()+32,FALSE)</f>
        <v>108</v>
      </c>
      <c r="K4" s="9">
        <f>VLOOKUP(Standings!$B4,DummyStandings!$B$5:$BD$48,COLUMN()+32,FALSE)</f>
        <v>279</v>
      </c>
      <c r="L4" s="19">
        <f>VLOOKUP(Standings!$B4,DummyStandings!$B$5:$BD$48,COLUMN()+32,FALSE)</f>
        <v>7</v>
      </c>
      <c r="M4" s="19">
        <f>VLOOKUP(Standings!$B4,DummyStandings!$B$5:$BD$48,COLUMN()+32,FALSE)</f>
        <v>7</v>
      </c>
      <c r="N4" s="19">
        <f>VLOOKUP(Standings!$B4,DummyStandings!$B$5:$BD$48,COLUMN()+32,FALSE)</f>
        <v>0</v>
      </c>
      <c r="O4" s="19">
        <f>VLOOKUP(Standings!$B4,DummyStandings!$B$5:$BD$48,COLUMN()+32,FALSE)</f>
        <v>205</v>
      </c>
      <c r="P4" s="19">
        <f>VLOOKUP(Standings!$B4,DummyStandings!$B$5:$BD$48,COLUMN()+32,FALSE)</f>
        <v>30</v>
      </c>
      <c r="Q4" s="20">
        <f>VLOOKUP(Standings!$B4,DummyStandings!$B$5:$BD$48,COLUMN()+32,FALSE)</f>
        <v>175</v>
      </c>
      <c r="R4" s="19">
        <f>VLOOKUP(Standings!$B4,DummyStandings!$B$5:$BD$48,COLUMN()+32,FALSE)</f>
        <v>7</v>
      </c>
      <c r="S4" s="19">
        <f>VLOOKUP(Standings!$B4,DummyStandings!$B$5:$BD$48,COLUMN()+32,FALSE)</f>
        <v>7</v>
      </c>
      <c r="T4" s="19">
        <f>VLOOKUP(Standings!$B4,DummyStandings!$B$5:$BD$48,COLUMN()+32,FALSE)</f>
        <v>0</v>
      </c>
      <c r="U4" s="19">
        <f>VLOOKUP(Standings!$B4,DummyStandings!$B$5:$BD$48,COLUMN()+32,FALSE)</f>
        <v>182</v>
      </c>
      <c r="V4" s="19">
        <f>VLOOKUP(Standings!$B4,DummyStandings!$B$5:$BD$48,COLUMN()+32,FALSE)</f>
        <v>78</v>
      </c>
      <c r="W4" s="20">
        <f>VLOOKUP(Standings!$B4,DummyStandings!$B$5:$BD$48,COLUMN()+32,FALSE)</f>
        <v>104</v>
      </c>
    </row>
    <row r="5" spans="2:23" ht="11.25">
      <c r="B5" s="25">
        <v>2</v>
      </c>
      <c r="C5" s="128" t="str">
        <f>VLOOKUP(Standings!$B5,DummyStandings!$B$5:$BD$48,2,FALSE)</f>
        <v>Colden University</v>
      </c>
      <c r="D5" s="124">
        <f t="shared" si="0"/>
        <v>1</v>
      </c>
      <c r="E5" s="121" t="str">
        <f>VLOOKUP(Standings!$B5,DummyStandings!$B$5:$BD$48,3,FALSE)</f>
        <v>Horizon</v>
      </c>
      <c r="F5" s="6">
        <f>VLOOKUP(Standings!$B5,DummyStandings!$B$5:$BD$48,COLUMN()+32,FALSE)</f>
        <v>14</v>
      </c>
      <c r="G5" s="17">
        <f>VLOOKUP(Standings!$B5,DummyStandings!$B$5:$BD$48,COLUMN()+32,FALSE)</f>
        <v>13</v>
      </c>
      <c r="H5" s="17">
        <f>VLOOKUP(Standings!$B5,DummyStandings!$B$5:$BD$48,COLUMN()+32,FALSE)</f>
        <v>1</v>
      </c>
      <c r="I5" s="17">
        <f>VLOOKUP(Standings!$B5,DummyStandings!$B$5:$BD$48,COLUMN()+32,FALSE)</f>
        <v>284</v>
      </c>
      <c r="J5" s="17">
        <f>VLOOKUP(Standings!$B5,DummyStandings!$B$5:$BD$48,COLUMN()+32,FALSE)</f>
        <v>117</v>
      </c>
      <c r="K5" s="8">
        <f>VLOOKUP(Standings!$B5,DummyStandings!$B$5:$BD$48,COLUMN()+32,FALSE)</f>
        <v>167</v>
      </c>
      <c r="L5" s="21">
        <f>VLOOKUP(Standings!$B5,DummyStandings!$B$5:$BD$48,COLUMN()+32,FALSE)</f>
        <v>7</v>
      </c>
      <c r="M5" s="21">
        <f>VLOOKUP(Standings!$B5,DummyStandings!$B$5:$BD$48,COLUMN()+32,FALSE)</f>
        <v>6</v>
      </c>
      <c r="N5" s="21">
        <f>VLOOKUP(Standings!$B5,DummyStandings!$B$5:$BD$48,COLUMN()+32,FALSE)</f>
        <v>1</v>
      </c>
      <c r="O5" s="21">
        <f>VLOOKUP(Standings!$B5,DummyStandings!$B$5:$BD$48,COLUMN()+32,FALSE)</f>
        <v>161</v>
      </c>
      <c r="P5" s="21">
        <f>VLOOKUP(Standings!$B5,DummyStandings!$B$5:$BD$48,COLUMN()+32,FALSE)</f>
        <v>65</v>
      </c>
      <c r="Q5" s="22">
        <f>VLOOKUP(Standings!$B5,DummyStandings!$B$5:$BD$48,COLUMN()+32,FALSE)</f>
        <v>96</v>
      </c>
      <c r="R5" s="21">
        <f>VLOOKUP(Standings!$B5,DummyStandings!$B$5:$BD$48,COLUMN()+32,FALSE)</f>
        <v>7</v>
      </c>
      <c r="S5" s="21">
        <f>VLOOKUP(Standings!$B5,DummyStandings!$B$5:$BD$48,COLUMN()+32,FALSE)</f>
        <v>7</v>
      </c>
      <c r="T5" s="21">
        <f>VLOOKUP(Standings!$B5,DummyStandings!$B$5:$BD$48,COLUMN()+32,FALSE)</f>
        <v>0</v>
      </c>
      <c r="U5" s="21">
        <f>VLOOKUP(Standings!$B5,DummyStandings!$B$5:$BD$48,COLUMN()+32,FALSE)</f>
        <v>123</v>
      </c>
      <c r="V5" s="21">
        <f>VLOOKUP(Standings!$B5,DummyStandings!$B$5:$BD$48,COLUMN()+32,FALSE)</f>
        <v>52</v>
      </c>
      <c r="W5" s="22">
        <f>VLOOKUP(Standings!$B5,DummyStandings!$B$5:$BD$48,COLUMN()+32,FALSE)</f>
        <v>71</v>
      </c>
    </row>
    <row r="6" spans="2:23" ht="11.25">
      <c r="B6" s="25">
        <v>3</v>
      </c>
      <c r="C6" s="128" t="str">
        <f>VLOOKUP(Standings!$B6,DummyStandings!$B$5:$BD$48,2,FALSE)</f>
        <v>Ramusok Capital University</v>
      </c>
      <c r="D6" s="124">
        <f t="shared" si="0"/>
        <v>2</v>
      </c>
      <c r="E6" s="121" t="str">
        <f>VLOOKUP(Standings!$B6,DummyStandings!$B$5:$BD$48,3,FALSE)</f>
        <v>Horizon</v>
      </c>
      <c r="F6" s="6">
        <f>VLOOKUP(Standings!$B6,DummyStandings!$B$5:$BD$48,COLUMN()+32,FALSE)</f>
        <v>14</v>
      </c>
      <c r="G6" s="17">
        <f>VLOOKUP(Standings!$B6,DummyStandings!$B$5:$BD$48,COLUMN()+32,FALSE)</f>
        <v>13</v>
      </c>
      <c r="H6" s="17">
        <f>VLOOKUP(Standings!$B6,DummyStandings!$B$5:$BD$48,COLUMN()+32,FALSE)</f>
        <v>1</v>
      </c>
      <c r="I6" s="17">
        <f>VLOOKUP(Standings!$B6,DummyStandings!$B$5:$BD$48,COLUMN()+32,FALSE)</f>
        <v>356</v>
      </c>
      <c r="J6" s="17">
        <f>VLOOKUP(Standings!$B6,DummyStandings!$B$5:$BD$48,COLUMN()+32,FALSE)</f>
        <v>132</v>
      </c>
      <c r="K6" s="8">
        <f>VLOOKUP(Standings!$B6,DummyStandings!$B$5:$BD$48,COLUMN()+32,FALSE)</f>
        <v>224</v>
      </c>
      <c r="L6" s="21">
        <f>VLOOKUP(Standings!$B6,DummyStandings!$B$5:$BD$48,COLUMN()+32,FALSE)</f>
        <v>7</v>
      </c>
      <c r="M6" s="21">
        <f>VLOOKUP(Standings!$B6,DummyStandings!$B$5:$BD$48,COLUMN()+32,FALSE)</f>
        <v>6</v>
      </c>
      <c r="N6" s="21">
        <f>VLOOKUP(Standings!$B6,DummyStandings!$B$5:$BD$48,COLUMN()+32,FALSE)</f>
        <v>1</v>
      </c>
      <c r="O6" s="21">
        <f>VLOOKUP(Standings!$B6,DummyStandings!$B$5:$BD$48,COLUMN()+32,FALSE)</f>
        <v>189</v>
      </c>
      <c r="P6" s="21">
        <f>VLOOKUP(Standings!$B6,DummyStandings!$B$5:$BD$48,COLUMN()+32,FALSE)</f>
        <v>66</v>
      </c>
      <c r="Q6" s="22">
        <f>VLOOKUP(Standings!$B6,DummyStandings!$B$5:$BD$48,COLUMN()+32,FALSE)</f>
        <v>123</v>
      </c>
      <c r="R6" s="21">
        <f>VLOOKUP(Standings!$B6,DummyStandings!$B$5:$BD$48,COLUMN()+32,FALSE)</f>
        <v>7</v>
      </c>
      <c r="S6" s="21">
        <f>VLOOKUP(Standings!$B6,DummyStandings!$B$5:$BD$48,COLUMN()+32,FALSE)</f>
        <v>7</v>
      </c>
      <c r="T6" s="21">
        <f>VLOOKUP(Standings!$B6,DummyStandings!$B$5:$BD$48,COLUMN()+32,FALSE)</f>
        <v>0</v>
      </c>
      <c r="U6" s="21">
        <f>VLOOKUP(Standings!$B6,DummyStandings!$B$5:$BD$48,COLUMN()+32,FALSE)</f>
        <v>167</v>
      </c>
      <c r="V6" s="21">
        <f>VLOOKUP(Standings!$B6,DummyStandings!$B$5:$BD$48,COLUMN()+32,FALSE)</f>
        <v>66</v>
      </c>
      <c r="W6" s="22">
        <f>VLOOKUP(Standings!$B6,DummyStandings!$B$5:$BD$48,COLUMN()+32,FALSE)</f>
        <v>101</v>
      </c>
    </row>
    <row r="7" spans="2:23" ht="11.25">
      <c r="B7" s="25">
        <v>4</v>
      </c>
      <c r="C7" s="128" t="str">
        <f>VLOOKUP(Standings!$B7,DummyStandings!$B$5:$BD$48,2,FALSE)</f>
        <v>University of Alzburg-Dyka</v>
      </c>
      <c r="D7" s="124">
        <f t="shared" si="0"/>
        <v>1</v>
      </c>
      <c r="E7" s="121" t="str">
        <f>VLOOKUP(Standings!$B7,DummyStandings!$B$5:$BD$48,3,FALSE)</f>
        <v>Sequoia</v>
      </c>
      <c r="F7" s="6">
        <f>VLOOKUP(Standings!$B7,DummyStandings!$B$5:$BD$48,COLUMN()+32,FALSE)</f>
        <v>14</v>
      </c>
      <c r="G7" s="17">
        <f>VLOOKUP(Standings!$B7,DummyStandings!$B$5:$BD$48,COLUMN()+32,FALSE)</f>
        <v>12</v>
      </c>
      <c r="H7" s="17">
        <f>VLOOKUP(Standings!$B7,DummyStandings!$B$5:$BD$48,COLUMN()+32,FALSE)</f>
        <v>2</v>
      </c>
      <c r="I7" s="17">
        <f>VLOOKUP(Standings!$B7,DummyStandings!$B$5:$BD$48,COLUMN()+32,FALSE)</f>
        <v>302</v>
      </c>
      <c r="J7" s="17">
        <f>VLOOKUP(Standings!$B7,DummyStandings!$B$5:$BD$48,COLUMN()+32,FALSE)</f>
        <v>113</v>
      </c>
      <c r="K7" s="8">
        <f>VLOOKUP(Standings!$B7,DummyStandings!$B$5:$BD$48,COLUMN()+32,FALSE)</f>
        <v>189</v>
      </c>
      <c r="L7" s="21">
        <f>VLOOKUP(Standings!$B7,DummyStandings!$B$5:$BD$48,COLUMN()+32,FALSE)</f>
        <v>7</v>
      </c>
      <c r="M7" s="21">
        <f>VLOOKUP(Standings!$B7,DummyStandings!$B$5:$BD$48,COLUMN()+32,FALSE)</f>
        <v>5</v>
      </c>
      <c r="N7" s="21">
        <f>VLOOKUP(Standings!$B7,DummyStandings!$B$5:$BD$48,COLUMN()+32,FALSE)</f>
        <v>2</v>
      </c>
      <c r="O7" s="21">
        <f>VLOOKUP(Standings!$B7,DummyStandings!$B$5:$BD$48,COLUMN()+32,FALSE)</f>
        <v>111</v>
      </c>
      <c r="P7" s="21">
        <f>VLOOKUP(Standings!$B7,DummyStandings!$B$5:$BD$48,COLUMN()+32,FALSE)</f>
        <v>49</v>
      </c>
      <c r="Q7" s="22">
        <f>VLOOKUP(Standings!$B7,DummyStandings!$B$5:$BD$48,COLUMN()+32,FALSE)</f>
        <v>62</v>
      </c>
      <c r="R7" s="21">
        <f>VLOOKUP(Standings!$B7,DummyStandings!$B$5:$BD$48,COLUMN()+32,FALSE)</f>
        <v>7</v>
      </c>
      <c r="S7" s="21">
        <f>VLOOKUP(Standings!$B7,DummyStandings!$B$5:$BD$48,COLUMN()+32,FALSE)</f>
        <v>7</v>
      </c>
      <c r="T7" s="21">
        <f>VLOOKUP(Standings!$B7,DummyStandings!$B$5:$BD$48,COLUMN()+32,FALSE)</f>
        <v>0</v>
      </c>
      <c r="U7" s="21">
        <f>VLOOKUP(Standings!$B7,DummyStandings!$B$5:$BD$48,COLUMN()+32,FALSE)</f>
        <v>191</v>
      </c>
      <c r="V7" s="21">
        <f>VLOOKUP(Standings!$B7,DummyStandings!$B$5:$BD$48,COLUMN()+32,FALSE)</f>
        <v>64</v>
      </c>
      <c r="W7" s="22">
        <f>VLOOKUP(Standings!$B7,DummyStandings!$B$5:$BD$48,COLUMN()+32,FALSE)</f>
        <v>127</v>
      </c>
    </row>
    <row r="8" spans="2:23" ht="11.25">
      <c r="B8" s="25">
        <v>5</v>
      </c>
      <c r="C8" s="128" t="str">
        <f>VLOOKUP(Standings!$B8,DummyStandings!$B$5:$BD$48,2,FALSE)</f>
        <v>Oklahoma City State University</v>
      </c>
      <c r="D8" s="124">
        <f t="shared" si="0"/>
        <v>2</v>
      </c>
      <c r="E8" s="121" t="str">
        <f>VLOOKUP(Standings!$B8,DummyStandings!$B$5:$BD$48,3,FALSE)</f>
        <v>Mineral</v>
      </c>
      <c r="F8" s="6">
        <f>VLOOKUP(Standings!$B8,DummyStandings!$B$5:$BD$48,COLUMN()+32,FALSE)</f>
        <v>14</v>
      </c>
      <c r="G8" s="17">
        <f>VLOOKUP(Standings!$B8,DummyStandings!$B$5:$BD$48,COLUMN()+32,FALSE)</f>
        <v>12</v>
      </c>
      <c r="H8" s="17">
        <f>VLOOKUP(Standings!$B8,DummyStandings!$B$5:$BD$48,COLUMN()+32,FALSE)</f>
        <v>2</v>
      </c>
      <c r="I8" s="17">
        <f>VLOOKUP(Standings!$B8,DummyStandings!$B$5:$BD$48,COLUMN()+32,FALSE)</f>
        <v>331</v>
      </c>
      <c r="J8" s="17">
        <f>VLOOKUP(Standings!$B8,DummyStandings!$B$5:$BD$48,COLUMN()+32,FALSE)</f>
        <v>115</v>
      </c>
      <c r="K8" s="8">
        <f>VLOOKUP(Standings!$B8,DummyStandings!$B$5:$BD$48,COLUMN()+32,FALSE)</f>
        <v>216</v>
      </c>
      <c r="L8" s="21">
        <f>VLOOKUP(Standings!$B8,DummyStandings!$B$5:$BD$48,COLUMN()+32,FALSE)</f>
        <v>7</v>
      </c>
      <c r="M8" s="21">
        <f>VLOOKUP(Standings!$B8,DummyStandings!$B$5:$BD$48,COLUMN()+32,FALSE)</f>
        <v>6</v>
      </c>
      <c r="N8" s="21">
        <f>VLOOKUP(Standings!$B8,DummyStandings!$B$5:$BD$48,COLUMN()+32,FALSE)</f>
        <v>1</v>
      </c>
      <c r="O8" s="21">
        <f>VLOOKUP(Standings!$B8,DummyStandings!$B$5:$BD$48,COLUMN()+32,FALSE)</f>
        <v>170</v>
      </c>
      <c r="P8" s="21">
        <f>VLOOKUP(Standings!$B8,DummyStandings!$B$5:$BD$48,COLUMN()+32,FALSE)</f>
        <v>45</v>
      </c>
      <c r="Q8" s="22">
        <f>VLOOKUP(Standings!$B8,DummyStandings!$B$5:$BD$48,COLUMN()+32,FALSE)</f>
        <v>125</v>
      </c>
      <c r="R8" s="21">
        <f>VLOOKUP(Standings!$B8,DummyStandings!$B$5:$BD$48,COLUMN()+32,FALSE)</f>
        <v>7</v>
      </c>
      <c r="S8" s="21">
        <f>VLOOKUP(Standings!$B8,DummyStandings!$B$5:$BD$48,COLUMN()+32,FALSE)</f>
        <v>6</v>
      </c>
      <c r="T8" s="21">
        <f>VLOOKUP(Standings!$B8,DummyStandings!$B$5:$BD$48,COLUMN()+32,FALSE)</f>
        <v>1</v>
      </c>
      <c r="U8" s="21">
        <f>VLOOKUP(Standings!$B8,DummyStandings!$B$5:$BD$48,COLUMN()+32,FALSE)</f>
        <v>161</v>
      </c>
      <c r="V8" s="21">
        <f>VLOOKUP(Standings!$B8,DummyStandings!$B$5:$BD$48,COLUMN()+32,FALSE)</f>
        <v>70</v>
      </c>
      <c r="W8" s="22">
        <f>VLOOKUP(Standings!$B8,DummyStandings!$B$5:$BD$48,COLUMN()+32,FALSE)</f>
        <v>91</v>
      </c>
    </row>
    <row r="9" spans="2:23" ht="11.25">
      <c r="B9" s="25">
        <v>6</v>
      </c>
      <c r="C9" s="128" t="str">
        <f>VLOOKUP(Standings!$B9,DummyStandings!$B$5:$BD$48,2,FALSE)</f>
        <v>Riversburg-Madison University</v>
      </c>
      <c r="D9" s="124">
        <f t="shared" si="0"/>
        <v>2</v>
      </c>
      <c r="E9" s="121" t="str">
        <f>VLOOKUP(Standings!$B9,DummyStandings!$B$5:$BD$48,3,FALSE)</f>
        <v>Sequoia</v>
      </c>
      <c r="F9" s="6">
        <f>VLOOKUP(Standings!$B9,DummyStandings!$B$5:$BD$48,COLUMN()+32,FALSE)</f>
        <v>14</v>
      </c>
      <c r="G9" s="17">
        <f>VLOOKUP(Standings!$B9,DummyStandings!$B$5:$BD$48,COLUMN()+32,FALSE)</f>
        <v>12</v>
      </c>
      <c r="H9" s="17">
        <f>VLOOKUP(Standings!$B9,DummyStandings!$B$5:$BD$48,COLUMN()+32,FALSE)</f>
        <v>2</v>
      </c>
      <c r="I9" s="17">
        <f>VLOOKUP(Standings!$B9,DummyStandings!$B$5:$BD$48,COLUMN()+32,FALSE)</f>
        <v>324</v>
      </c>
      <c r="J9" s="17">
        <f>VLOOKUP(Standings!$B9,DummyStandings!$B$5:$BD$48,COLUMN()+32,FALSE)</f>
        <v>149</v>
      </c>
      <c r="K9" s="8">
        <f>VLOOKUP(Standings!$B9,DummyStandings!$B$5:$BD$48,COLUMN()+32,FALSE)</f>
        <v>175</v>
      </c>
      <c r="L9" s="21">
        <f>VLOOKUP(Standings!$B9,DummyStandings!$B$5:$BD$48,COLUMN()+32,FALSE)</f>
        <v>7</v>
      </c>
      <c r="M9" s="21">
        <f>VLOOKUP(Standings!$B9,DummyStandings!$B$5:$BD$48,COLUMN()+32,FALSE)</f>
        <v>5</v>
      </c>
      <c r="N9" s="21">
        <f>VLOOKUP(Standings!$B9,DummyStandings!$B$5:$BD$48,COLUMN()+32,FALSE)</f>
        <v>2</v>
      </c>
      <c r="O9" s="21">
        <f>VLOOKUP(Standings!$B9,DummyStandings!$B$5:$BD$48,COLUMN()+32,FALSE)</f>
        <v>183</v>
      </c>
      <c r="P9" s="21">
        <f>VLOOKUP(Standings!$B9,DummyStandings!$B$5:$BD$48,COLUMN()+32,FALSE)</f>
        <v>100</v>
      </c>
      <c r="Q9" s="22">
        <f>VLOOKUP(Standings!$B9,DummyStandings!$B$5:$BD$48,COLUMN()+32,FALSE)</f>
        <v>83</v>
      </c>
      <c r="R9" s="21">
        <f>VLOOKUP(Standings!$B9,DummyStandings!$B$5:$BD$48,COLUMN()+32,FALSE)</f>
        <v>7</v>
      </c>
      <c r="S9" s="21">
        <f>VLOOKUP(Standings!$B9,DummyStandings!$B$5:$BD$48,COLUMN()+32,FALSE)</f>
        <v>7</v>
      </c>
      <c r="T9" s="21">
        <f>VLOOKUP(Standings!$B9,DummyStandings!$B$5:$BD$48,COLUMN()+32,FALSE)</f>
        <v>0</v>
      </c>
      <c r="U9" s="21">
        <f>VLOOKUP(Standings!$B9,DummyStandings!$B$5:$BD$48,COLUMN()+32,FALSE)</f>
        <v>141</v>
      </c>
      <c r="V9" s="21">
        <f>VLOOKUP(Standings!$B9,DummyStandings!$B$5:$BD$48,COLUMN()+32,FALSE)</f>
        <v>49</v>
      </c>
      <c r="W9" s="22">
        <f>VLOOKUP(Standings!$B9,DummyStandings!$B$5:$BD$48,COLUMN()+32,FALSE)</f>
        <v>92</v>
      </c>
    </row>
    <row r="10" spans="2:23" ht="11.25">
      <c r="B10" s="25">
        <v>7</v>
      </c>
      <c r="C10" s="128" t="str">
        <f>VLOOKUP(Standings!$B10,DummyStandings!$B$5:$BD$48,2,FALSE)</f>
        <v>Scott City University</v>
      </c>
      <c r="D10" s="124">
        <f t="shared" si="0"/>
        <v>1</v>
      </c>
      <c r="E10" s="121" t="str">
        <f>VLOOKUP(Standings!$B10,DummyStandings!$B$5:$BD$48,3,FALSE)</f>
        <v>Big Eight</v>
      </c>
      <c r="F10" s="6">
        <f>VLOOKUP(Standings!$B10,DummyStandings!$B$5:$BD$48,COLUMN()+32,FALSE)</f>
        <v>14</v>
      </c>
      <c r="G10" s="17">
        <f>VLOOKUP(Standings!$B10,DummyStandings!$B$5:$BD$48,COLUMN()+32,FALSE)</f>
        <v>12</v>
      </c>
      <c r="H10" s="17">
        <f>VLOOKUP(Standings!$B10,DummyStandings!$B$5:$BD$48,COLUMN()+32,FALSE)</f>
        <v>2</v>
      </c>
      <c r="I10" s="17">
        <f>VLOOKUP(Standings!$B10,DummyStandings!$B$5:$BD$48,COLUMN()+32,FALSE)</f>
        <v>295</v>
      </c>
      <c r="J10" s="17">
        <f>VLOOKUP(Standings!$B10,DummyStandings!$B$5:$BD$48,COLUMN()+32,FALSE)</f>
        <v>146</v>
      </c>
      <c r="K10" s="8">
        <f>VLOOKUP(Standings!$B10,DummyStandings!$B$5:$BD$48,COLUMN()+32,FALSE)</f>
        <v>149</v>
      </c>
      <c r="L10" s="21">
        <f>VLOOKUP(Standings!$B10,DummyStandings!$B$5:$BD$48,COLUMN()+32,FALSE)</f>
        <v>7</v>
      </c>
      <c r="M10" s="21">
        <f>VLOOKUP(Standings!$B10,DummyStandings!$B$5:$BD$48,COLUMN()+32,FALSE)</f>
        <v>7</v>
      </c>
      <c r="N10" s="21">
        <f>VLOOKUP(Standings!$B10,DummyStandings!$B$5:$BD$48,COLUMN()+32,FALSE)</f>
        <v>0</v>
      </c>
      <c r="O10" s="21">
        <f>VLOOKUP(Standings!$B10,DummyStandings!$B$5:$BD$48,COLUMN()+32,FALSE)</f>
        <v>161</v>
      </c>
      <c r="P10" s="21">
        <f>VLOOKUP(Standings!$B10,DummyStandings!$B$5:$BD$48,COLUMN()+32,FALSE)</f>
        <v>54</v>
      </c>
      <c r="Q10" s="22">
        <f>VLOOKUP(Standings!$B10,DummyStandings!$B$5:$BD$48,COLUMN()+32,FALSE)</f>
        <v>107</v>
      </c>
      <c r="R10" s="21">
        <f>VLOOKUP(Standings!$B10,DummyStandings!$B$5:$BD$48,COLUMN()+32,FALSE)</f>
        <v>7</v>
      </c>
      <c r="S10" s="21">
        <f>VLOOKUP(Standings!$B10,DummyStandings!$B$5:$BD$48,COLUMN()+32,FALSE)</f>
        <v>5</v>
      </c>
      <c r="T10" s="21">
        <f>VLOOKUP(Standings!$B10,DummyStandings!$B$5:$BD$48,COLUMN()+32,FALSE)</f>
        <v>2</v>
      </c>
      <c r="U10" s="21">
        <f>VLOOKUP(Standings!$B10,DummyStandings!$B$5:$BD$48,COLUMN()+32,FALSE)</f>
        <v>134</v>
      </c>
      <c r="V10" s="21">
        <f>VLOOKUP(Standings!$B10,DummyStandings!$B$5:$BD$48,COLUMN()+32,FALSE)</f>
        <v>92</v>
      </c>
      <c r="W10" s="22">
        <f>VLOOKUP(Standings!$B10,DummyStandings!$B$5:$BD$48,COLUMN()+32,FALSE)</f>
        <v>42</v>
      </c>
    </row>
    <row r="11" spans="2:23" ht="11.25">
      <c r="B11" s="25">
        <v>8</v>
      </c>
      <c r="C11" s="128" t="str">
        <f>VLOOKUP(Standings!$B11,DummyStandings!$B$5:$BD$48,2,FALSE)</f>
        <v>University of Utica</v>
      </c>
      <c r="D11" s="124">
        <f t="shared" si="0"/>
        <v>1</v>
      </c>
      <c r="E11" s="121" t="str">
        <f>VLOOKUP(Standings!$B11,DummyStandings!$B$5:$BD$48,3,FALSE)</f>
        <v>Woodlands</v>
      </c>
      <c r="F11" s="6">
        <f>VLOOKUP(Standings!$B11,DummyStandings!$B$5:$BD$48,COLUMN()+32,FALSE)</f>
        <v>14</v>
      </c>
      <c r="G11" s="17">
        <f>VLOOKUP(Standings!$B11,DummyStandings!$B$5:$BD$48,COLUMN()+32,FALSE)</f>
        <v>11</v>
      </c>
      <c r="H11" s="17">
        <f>VLOOKUP(Standings!$B11,DummyStandings!$B$5:$BD$48,COLUMN()+32,FALSE)</f>
        <v>3</v>
      </c>
      <c r="I11" s="17">
        <f>VLOOKUP(Standings!$B11,DummyStandings!$B$5:$BD$48,COLUMN()+32,FALSE)</f>
        <v>312</v>
      </c>
      <c r="J11" s="17">
        <f>VLOOKUP(Standings!$B11,DummyStandings!$B$5:$BD$48,COLUMN()+32,FALSE)</f>
        <v>130</v>
      </c>
      <c r="K11" s="8">
        <f>VLOOKUP(Standings!$B11,DummyStandings!$B$5:$BD$48,COLUMN()+32,FALSE)</f>
        <v>182</v>
      </c>
      <c r="L11" s="21">
        <f>VLOOKUP(Standings!$B11,DummyStandings!$B$5:$BD$48,COLUMN()+32,FALSE)</f>
        <v>7</v>
      </c>
      <c r="M11" s="21">
        <f>VLOOKUP(Standings!$B11,DummyStandings!$B$5:$BD$48,COLUMN()+32,FALSE)</f>
        <v>7</v>
      </c>
      <c r="N11" s="21">
        <f>VLOOKUP(Standings!$B11,DummyStandings!$B$5:$BD$48,COLUMN()+32,FALSE)</f>
        <v>0</v>
      </c>
      <c r="O11" s="21">
        <f>VLOOKUP(Standings!$B11,DummyStandings!$B$5:$BD$48,COLUMN()+32,FALSE)</f>
        <v>195</v>
      </c>
      <c r="P11" s="21">
        <f>VLOOKUP(Standings!$B11,DummyStandings!$B$5:$BD$48,COLUMN()+32,FALSE)</f>
        <v>43</v>
      </c>
      <c r="Q11" s="22">
        <f>VLOOKUP(Standings!$B11,DummyStandings!$B$5:$BD$48,COLUMN()+32,FALSE)</f>
        <v>152</v>
      </c>
      <c r="R11" s="21">
        <f>VLOOKUP(Standings!$B11,DummyStandings!$B$5:$BD$48,COLUMN()+32,FALSE)</f>
        <v>7</v>
      </c>
      <c r="S11" s="21">
        <f>VLOOKUP(Standings!$B11,DummyStandings!$B$5:$BD$48,COLUMN()+32,FALSE)</f>
        <v>4</v>
      </c>
      <c r="T11" s="21">
        <f>VLOOKUP(Standings!$B11,DummyStandings!$B$5:$BD$48,COLUMN()+32,FALSE)</f>
        <v>3</v>
      </c>
      <c r="U11" s="21">
        <f>VLOOKUP(Standings!$B11,DummyStandings!$B$5:$BD$48,COLUMN()+32,FALSE)</f>
        <v>117</v>
      </c>
      <c r="V11" s="21">
        <f>VLOOKUP(Standings!$B11,DummyStandings!$B$5:$BD$48,COLUMN()+32,FALSE)</f>
        <v>87</v>
      </c>
      <c r="W11" s="22">
        <f>VLOOKUP(Standings!$B11,DummyStandings!$B$5:$BD$48,COLUMN()+32,FALSE)</f>
        <v>30</v>
      </c>
    </row>
    <row r="12" spans="2:23" ht="11.25">
      <c r="B12" s="25">
        <v>9</v>
      </c>
      <c r="C12" s="128" t="str">
        <f>VLOOKUP(Standings!$B12,DummyStandings!$B$5:$BD$48,2,FALSE)</f>
        <v>Bugny A&amp;M University</v>
      </c>
      <c r="D12" s="124">
        <f t="shared" si="0"/>
        <v>2</v>
      </c>
      <c r="E12" s="121" t="str">
        <f>VLOOKUP(Standings!$B12,DummyStandings!$B$5:$BD$48,3,FALSE)</f>
        <v>Big Eight</v>
      </c>
      <c r="F12" s="6">
        <f>VLOOKUP(Standings!$B12,DummyStandings!$B$5:$BD$48,COLUMN()+32,FALSE)</f>
        <v>14</v>
      </c>
      <c r="G12" s="17">
        <f>VLOOKUP(Standings!$B12,DummyStandings!$B$5:$BD$48,COLUMN()+32,FALSE)</f>
        <v>11</v>
      </c>
      <c r="H12" s="17">
        <f>VLOOKUP(Standings!$B12,DummyStandings!$B$5:$BD$48,COLUMN()+32,FALSE)</f>
        <v>3</v>
      </c>
      <c r="I12" s="17">
        <f>VLOOKUP(Standings!$B12,DummyStandings!$B$5:$BD$48,COLUMN()+32,FALSE)</f>
        <v>316</v>
      </c>
      <c r="J12" s="17">
        <f>VLOOKUP(Standings!$B12,DummyStandings!$B$5:$BD$48,COLUMN()+32,FALSE)</f>
        <v>141</v>
      </c>
      <c r="K12" s="8">
        <f>VLOOKUP(Standings!$B12,DummyStandings!$B$5:$BD$48,COLUMN()+32,FALSE)</f>
        <v>175</v>
      </c>
      <c r="L12" s="21">
        <f>VLOOKUP(Standings!$B12,DummyStandings!$B$5:$BD$48,COLUMN()+32,FALSE)</f>
        <v>7</v>
      </c>
      <c r="M12" s="21">
        <f>VLOOKUP(Standings!$B12,DummyStandings!$B$5:$BD$48,COLUMN()+32,FALSE)</f>
        <v>7</v>
      </c>
      <c r="N12" s="21">
        <f>VLOOKUP(Standings!$B12,DummyStandings!$B$5:$BD$48,COLUMN()+32,FALSE)</f>
        <v>0</v>
      </c>
      <c r="O12" s="21">
        <f>VLOOKUP(Standings!$B12,DummyStandings!$B$5:$BD$48,COLUMN()+32,FALSE)</f>
        <v>172</v>
      </c>
      <c r="P12" s="21">
        <f>VLOOKUP(Standings!$B12,DummyStandings!$B$5:$BD$48,COLUMN()+32,FALSE)</f>
        <v>43</v>
      </c>
      <c r="Q12" s="22">
        <f>VLOOKUP(Standings!$B12,DummyStandings!$B$5:$BD$48,COLUMN()+32,FALSE)</f>
        <v>129</v>
      </c>
      <c r="R12" s="21">
        <f>VLOOKUP(Standings!$B12,DummyStandings!$B$5:$BD$48,COLUMN()+32,FALSE)</f>
        <v>7</v>
      </c>
      <c r="S12" s="21">
        <f>VLOOKUP(Standings!$B12,DummyStandings!$B$5:$BD$48,COLUMN()+32,FALSE)</f>
        <v>4</v>
      </c>
      <c r="T12" s="21">
        <f>VLOOKUP(Standings!$B12,DummyStandings!$B$5:$BD$48,COLUMN()+32,FALSE)</f>
        <v>3</v>
      </c>
      <c r="U12" s="21">
        <f>VLOOKUP(Standings!$B12,DummyStandings!$B$5:$BD$48,COLUMN()+32,FALSE)</f>
        <v>144</v>
      </c>
      <c r="V12" s="21">
        <f>VLOOKUP(Standings!$B12,DummyStandings!$B$5:$BD$48,COLUMN()+32,FALSE)</f>
        <v>98</v>
      </c>
      <c r="W12" s="22">
        <f>VLOOKUP(Standings!$B12,DummyStandings!$B$5:$BD$48,COLUMN()+32,FALSE)</f>
        <v>46</v>
      </c>
    </row>
    <row r="13" spans="2:23" ht="12" thickBot="1">
      <c r="B13" s="46">
        <v>10</v>
      </c>
      <c r="C13" s="129" t="str">
        <f>VLOOKUP(Standings!$B13,DummyStandings!$B$5:$BD$48,2,FALSE)</f>
        <v>Frbiba State University</v>
      </c>
      <c r="D13" s="126">
        <f t="shared" si="0"/>
        <v>2</v>
      </c>
      <c r="E13" s="125" t="str">
        <f>VLOOKUP(Standings!$B13,DummyStandings!$B$5:$BD$48,3,FALSE)</f>
        <v>Woodlands</v>
      </c>
      <c r="F13" s="4">
        <f>VLOOKUP(Standings!$B13,DummyStandings!$B$5:$BD$48,COLUMN()+32,FALSE)</f>
        <v>14</v>
      </c>
      <c r="G13" s="3">
        <f>VLOOKUP(Standings!$B13,DummyStandings!$B$5:$BD$48,COLUMN()+32,FALSE)</f>
        <v>11</v>
      </c>
      <c r="H13" s="3">
        <f>VLOOKUP(Standings!$B13,DummyStandings!$B$5:$BD$48,COLUMN()+32,FALSE)</f>
        <v>3</v>
      </c>
      <c r="I13" s="3">
        <f>VLOOKUP(Standings!$B13,DummyStandings!$B$5:$BD$48,COLUMN()+32,FALSE)</f>
        <v>210</v>
      </c>
      <c r="J13" s="3">
        <f>VLOOKUP(Standings!$B13,DummyStandings!$B$5:$BD$48,COLUMN()+32,FALSE)</f>
        <v>68</v>
      </c>
      <c r="K13" s="5">
        <f>VLOOKUP(Standings!$B13,DummyStandings!$B$5:$BD$48,COLUMN()+32,FALSE)</f>
        <v>142</v>
      </c>
      <c r="L13" s="23">
        <f>VLOOKUP(Standings!$B13,DummyStandings!$B$5:$BD$48,COLUMN()+32,FALSE)</f>
        <v>7</v>
      </c>
      <c r="M13" s="23">
        <f>VLOOKUP(Standings!$B13,DummyStandings!$B$5:$BD$48,COLUMN()+32,FALSE)</f>
        <v>6</v>
      </c>
      <c r="N13" s="23">
        <f>VLOOKUP(Standings!$B13,DummyStandings!$B$5:$BD$48,COLUMN()+32,FALSE)</f>
        <v>1</v>
      </c>
      <c r="O13" s="23">
        <f>VLOOKUP(Standings!$B13,DummyStandings!$B$5:$BD$48,COLUMN()+32,FALSE)</f>
        <v>135</v>
      </c>
      <c r="P13" s="23">
        <f>VLOOKUP(Standings!$B13,DummyStandings!$B$5:$BD$48,COLUMN()+32,FALSE)</f>
        <v>31</v>
      </c>
      <c r="Q13" s="24">
        <f>VLOOKUP(Standings!$B13,DummyStandings!$B$5:$BD$48,COLUMN()+32,FALSE)</f>
        <v>104</v>
      </c>
      <c r="R13" s="23">
        <f>VLOOKUP(Standings!$B13,DummyStandings!$B$5:$BD$48,COLUMN()+32,FALSE)</f>
        <v>7</v>
      </c>
      <c r="S13" s="23">
        <f>VLOOKUP(Standings!$B13,DummyStandings!$B$5:$BD$48,COLUMN()+32,FALSE)</f>
        <v>5</v>
      </c>
      <c r="T13" s="23">
        <f>VLOOKUP(Standings!$B13,DummyStandings!$B$5:$BD$48,COLUMN()+32,FALSE)</f>
        <v>2</v>
      </c>
      <c r="U13" s="23">
        <f>VLOOKUP(Standings!$B13,DummyStandings!$B$5:$BD$48,COLUMN()+32,FALSE)</f>
        <v>75</v>
      </c>
      <c r="V13" s="23">
        <f>VLOOKUP(Standings!$B13,DummyStandings!$B$5:$BD$48,COLUMN()+32,FALSE)</f>
        <v>37</v>
      </c>
      <c r="W13" s="24">
        <f>VLOOKUP(Standings!$B13,DummyStandings!$B$5:$BD$48,COLUMN()+32,FALSE)</f>
        <v>38</v>
      </c>
    </row>
    <row r="14" spans="2:23" ht="11.25">
      <c r="B14" s="149">
        <v>11</v>
      </c>
      <c r="C14" s="127" t="str">
        <f>VLOOKUP(Standings!$B14,DummyStandings!$B$5:$BD$48,2,FALSE)</f>
        <v>University of Arkinesia</v>
      </c>
      <c r="D14" s="123">
        <f t="shared" si="0"/>
        <v>3</v>
      </c>
      <c r="E14" s="122" t="str">
        <f>VLOOKUP(Standings!$B14,DummyStandings!$B$5:$BD$48,3,FALSE)</f>
        <v>Woodlands</v>
      </c>
      <c r="F14" s="7">
        <f>VLOOKUP(Standings!$B14,DummyStandings!$B$5:$BD$48,COLUMN()+32,FALSE)</f>
        <v>14</v>
      </c>
      <c r="G14" s="18">
        <f>VLOOKUP(Standings!$B14,DummyStandings!$B$5:$BD$48,COLUMN()+32,FALSE)</f>
        <v>10</v>
      </c>
      <c r="H14" s="18">
        <f>VLOOKUP(Standings!$B14,DummyStandings!$B$5:$BD$48,COLUMN()+32,FALSE)</f>
        <v>4</v>
      </c>
      <c r="I14" s="18">
        <f>VLOOKUP(Standings!$B14,DummyStandings!$B$5:$BD$48,COLUMN()+32,FALSE)</f>
        <v>324</v>
      </c>
      <c r="J14" s="18">
        <f>VLOOKUP(Standings!$B14,DummyStandings!$B$5:$BD$48,COLUMN()+32,FALSE)</f>
        <v>177</v>
      </c>
      <c r="K14" s="9">
        <f>VLOOKUP(Standings!$B14,DummyStandings!$B$5:$BD$48,COLUMN()+32,FALSE)</f>
        <v>147</v>
      </c>
      <c r="L14" s="19">
        <f>VLOOKUP(Standings!$B14,DummyStandings!$B$5:$BD$48,COLUMN()+32,FALSE)</f>
        <v>7</v>
      </c>
      <c r="M14" s="19">
        <f>VLOOKUP(Standings!$B14,DummyStandings!$B$5:$BD$48,COLUMN()+32,FALSE)</f>
        <v>6</v>
      </c>
      <c r="N14" s="19">
        <f>VLOOKUP(Standings!$B14,DummyStandings!$B$5:$BD$48,COLUMN()+32,FALSE)</f>
        <v>1</v>
      </c>
      <c r="O14" s="19">
        <f>VLOOKUP(Standings!$B14,DummyStandings!$B$5:$BD$48,COLUMN()+32,FALSE)</f>
        <v>195</v>
      </c>
      <c r="P14" s="19">
        <f>VLOOKUP(Standings!$B14,DummyStandings!$B$5:$BD$48,COLUMN()+32,FALSE)</f>
        <v>35</v>
      </c>
      <c r="Q14" s="20">
        <f>VLOOKUP(Standings!$B14,DummyStandings!$B$5:$BD$48,COLUMN()+32,FALSE)</f>
        <v>160</v>
      </c>
      <c r="R14" s="19">
        <f>VLOOKUP(Standings!$B14,DummyStandings!$B$5:$BD$48,COLUMN()+32,FALSE)</f>
        <v>7</v>
      </c>
      <c r="S14" s="19">
        <f>VLOOKUP(Standings!$B14,DummyStandings!$B$5:$BD$48,COLUMN()+32,FALSE)</f>
        <v>4</v>
      </c>
      <c r="T14" s="19">
        <f>VLOOKUP(Standings!$B14,DummyStandings!$B$5:$BD$48,COLUMN()+32,FALSE)</f>
        <v>3</v>
      </c>
      <c r="U14" s="19">
        <f>VLOOKUP(Standings!$B14,DummyStandings!$B$5:$BD$48,COLUMN()+32,FALSE)</f>
        <v>129</v>
      </c>
      <c r="V14" s="19">
        <f>VLOOKUP(Standings!$B14,DummyStandings!$B$5:$BD$48,COLUMN()+32,FALSE)</f>
        <v>142</v>
      </c>
      <c r="W14" s="20">
        <f>VLOOKUP(Standings!$B14,DummyStandings!$B$5:$BD$48,COLUMN()+32,FALSE)</f>
        <v>-13</v>
      </c>
    </row>
    <row r="15" spans="2:23" ht="11.25">
      <c r="B15" s="148">
        <v>12</v>
      </c>
      <c r="C15" s="128" t="str">
        <f>VLOOKUP(Standings!$B15,DummyStandings!$B$5:$BD$48,2,FALSE)</f>
        <v>Saugeais State University</v>
      </c>
      <c r="D15" s="124">
        <f t="shared" si="0"/>
        <v>3</v>
      </c>
      <c r="E15" s="121" t="str">
        <f>VLOOKUP(Standings!$B15,DummyStandings!$B$5:$BD$48,3,FALSE)</f>
        <v>Big Eight</v>
      </c>
      <c r="F15" s="6">
        <f>VLOOKUP(Standings!$B15,DummyStandings!$B$5:$BD$48,COLUMN()+32,FALSE)</f>
        <v>14</v>
      </c>
      <c r="G15" s="17">
        <f>VLOOKUP(Standings!$B15,DummyStandings!$B$5:$BD$48,COLUMN()+32,FALSE)</f>
        <v>10</v>
      </c>
      <c r="H15" s="17">
        <f>VLOOKUP(Standings!$B15,DummyStandings!$B$5:$BD$48,COLUMN()+32,FALSE)</f>
        <v>4</v>
      </c>
      <c r="I15" s="17">
        <f>VLOOKUP(Standings!$B15,DummyStandings!$B$5:$BD$48,COLUMN()+32,FALSE)</f>
        <v>265</v>
      </c>
      <c r="J15" s="17">
        <f>VLOOKUP(Standings!$B15,DummyStandings!$B$5:$BD$48,COLUMN()+32,FALSE)</f>
        <v>127</v>
      </c>
      <c r="K15" s="8">
        <f>VLOOKUP(Standings!$B15,DummyStandings!$B$5:$BD$48,COLUMN()+32,FALSE)</f>
        <v>138</v>
      </c>
      <c r="L15" s="21">
        <f>VLOOKUP(Standings!$B15,DummyStandings!$B$5:$BD$48,COLUMN()+32,FALSE)</f>
        <v>7</v>
      </c>
      <c r="M15" s="21">
        <f>VLOOKUP(Standings!$B15,DummyStandings!$B$5:$BD$48,COLUMN()+32,FALSE)</f>
        <v>6</v>
      </c>
      <c r="N15" s="21">
        <f>VLOOKUP(Standings!$B15,DummyStandings!$B$5:$BD$48,COLUMN()+32,FALSE)</f>
        <v>1</v>
      </c>
      <c r="O15" s="21">
        <f>VLOOKUP(Standings!$B15,DummyStandings!$B$5:$BD$48,COLUMN()+32,FALSE)</f>
        <v>155</v>
      </c>
      <c r="P15" s="21">
        <f>VLOOKUP(Standings!$B15,DummyStandings!$B$5:$BD$48,COLUMN()+32,FALSE)</f>
        <v>53</v>
      </c>
      <c r="Q15" s="22">
        <f>VLOOKUP(Standings!$B15,DummyStandings!$B$5:$BD$48,COLUMN()+32,FALSE)</f>
        <v>102</v>
      </c>
      <c r="R15" s="21">
        <f>VLOOKUP(Standings!$B15,DummyStandings!$B$5:$BD$48,COLUMN()+32,FALSE)</f>
        <v>7</v>
      </c>
      <c r="S15" s="21">
        <f>VLOOKUP(Standings!$B15,DummyStandings!$B$5:$BD$48,COLUMN()+32,FALSE)</f>
        <v>4</v>
      </c>
      <c r="T15" s="21">
        <f>VLOOKUP(Standings!$B15,DummyStandings!$B$5:$BD$48,COLUMN()+32,FALSE)</f>
        <v>3</v>
      </c>
      <c r="U15" s="21">
        <f>VLOOKUP(Standings!$B15,DummyStandings!$B$5:$BD$48,COLUMN()+32,FALSE)</f>
        <v>110</v>
      </c>
      <c r="V15" s="21">
        <f>VLOOKUP(Standings!$B15,DummyStandings!$B$5:$BD$48,COLUMN()+32,FALSE)</f>
        <v>74</v>
      </c>
      <c r="W15" s="22">
        <f>VLOOKUP(Standings!$B15,DummyStandings!$B$5:$BD$48,COLUMN()+32,FALSE)</f>
        <v>36</v>
      </c>
    </row>
    <row r="16" spans="2:23" ht="11.25">
      <c r="B16" s="148">
        <v>13</v>
      </c>
      <c r="C16" s="128" t="str">
        <f>VLOOKUP(Standings!$B16,DummyStandings!$B$5:$BD$48,2,FALSE)</f>
        <v>University of St. John's Island</v>
      </c>
      <c r="D16" s="124">
        <f t="shared" si="0"/>
        <v>3</v>
      </c>
      <c r="E16" s="121" t="str">
        <f>VLOOKUP(Standings!$B16,DummyStandings!$B$5:$BD$48,3,FALSE)</f>
        <v>Sequoia</v>
      </c>
      <c r="F16" s="6">
        <f>VLOOKUP(Standings!$B16,DummyStandings!$B$5:$BD$48,COLUMN()+32,FALSE)</f>
        <v>14</v>
      </c>
      <c r="G16" s="17">
        <f>VLOOKUP(Standings!$B16,DummyStandings!$B$5:$BD$48,COLUMN()+32,FALSE)</f>
        <v>10</v>
      </c>
      <c r="H16" s="17">
        <f>VLOOKUP(Standings!$B16,DummyStandings!$B$5:$BD$48,COLUMN()+32,FALSE)</f>
        <v>4</v>
      </c>
      <c r="I16" s="17">
        <f>VLOOKUP(Standings!$B16,DummyStandings!$B$5:$BD$48,COLUMN()+32,FALSE)</f>
        <v>251</v>
      </c>
      <c r="J16" s="17">
        <f>VLOOKUP(Standings!$B16,DummyStandings!$B$5:$BD$48,COLUMN()+32,FALSE)</f>
        <v>131</v>
      </c>
      <c r="K16" s="8">
        <f>VLOOKUP(Standings!$B16,DummyStandings!$B$5:$BD$48,COLUMN()+32,FALSE)</f>
        <v>120</v>
      </c>
      <c r="L16" s="21">
        <f>VLOOKUP(Standings!$B16,DummyStandings!$B$5:$BD$48,COLUMN()+32,FALSE)</f>
        <v>7</v>
      </c>
      <c r="M16" s="21">
        <f>VLOOKUP(Standings!$B16,DummyStandings!$B$5:$BD$48,COLUMN()+32,FALSE)</f>
        <v>4</v>
      </c>
      <c r="N16" s="21">
        <f>VLOOKUP(Standings!$B16,DummyStandings!$B$5:$BD$48,COLUMN()+32,FALSE)</f>
        <v>3</v>
      </c>
      <c r="O16" s="21">
        <f>VLOOKUP(Standings!$B16,DummyStandings!$B$5:$BD$48,COLUMN()+32,FALSE)</f>
        <v>103</v>
      </c>
      <c r="P16" s="21">
        <f>VLOOKUP(Standings!$B16,DummyStandings!$B$5:$BD$48,COLUMN()+32,FALSE)</f>
        <v>75</v>
      </c>
      <c r="Q16" s="22">
        <f>VLOOKUP(Standings!$B16,DummyStandings!$B$5:$BD$48,COLUMN()+32,FALSE)</f>
        <v>28</v>
      </c>
      <c r="R16" s="21">
        <f>VLOOKUP(Standings!$B16,DummyStandings!$B$5:$BD$48,COLUMN()+32,FALSE)</f>
        <v>7</v>
      </c>
      <c r="S16" s="21">
        <f>VLOOKUP(Standings!$B16,DummyStandings!$B$5:$BD$48,COLUMN()+32,FALSE)</f>
        <v>6</v>
      </c>
      <c r="T16" s="21">
        <f>VLOOKUP(Standings!$B16,DummyStandings!$B$5:$BD$48,COLUMN()+32,FALSE)</f>
        <v>1</v>
      </c>
      <c r="U16" s="21">
        <f>VLOOKUP(Standings!$B16,DummyStandings!$B$5:$BD$48,COLUMN()+32,FALSE)</f>
        <v>148</v>
      </c>
      <c r="V16" s="21">
        <f>VLOOKUP(Standings!$B16,DummyStandings!$B$5:$BD$48,COLUMN()+32,FALSE)</f>
        <v>56</v>
      </c>
      <c r="W16" s="22">
        <f>VLOOKUP(Standings!$B16,DummyStandings!$B$5:$BD$48,COLUMN()+32,FALSE)</f>
        <v>92</v>
      </c>
    </row>
    <row r="17" spans="2:23" ht="11.25">
      <c r="B17" s="148">
        <v>14</v>
      </c>
      <c r="C17" s="128" t="str">
        <f>VLOOKUP(Standings!$B17,DummyStandings!$B$5:$BD$48,2,FALSE)</f>
        <v>Touffer University</v>
      </c>
      <c r="D17" s="124">
        <f t="shared" si="0"/>
        <v>4</v>
      </c>
      <c r="E17" s="121" t="str">
        <f>VLOOKUP(Standings!$B17,DummyStandings!$B$5:$BD$48,3,FALSE)</f>
        <v>Woodlands</v>
      </c>
      <c r="F17" s="6">
        <f>VLOOKUP(Standings!$B17,DummyStandings!$B$5:$BD$48,COLUMN()+32,FALSE)</f>
        <v>14</v>
      </c>
      <c r="G17" s="17">
        <f>VLOOKUP(Standings!$B17,DummyStandings!$B$5:$BD$48,COLUMN()+32,FALSE)</f>
        <v>9</v>
      </c>
      <c r="H17" s="17">
        <f>VLOOKUP(Standings!$B17,DummyStandings!$B$5:$BD$48,COLUMN()+32,FALSE)</f>
        <v>5</v>
      </c>
      <c r="I17" s="17">
        <f>VLOOKUP(Standings!$B17,DummyStandings!$B$5:$BD$48,COLUMN()+32,FALSE)</f>
        <v>305</v>
      </c>
      <c r="J17" s="17">
        <f>VLOOKUP(Standings!$B17,DummyStandings!$B$5:$BD$48,COLUMN()+32,FALSE)</f>
        <v>229</v>
      </c>
      <c r="K17" s="8">
        <f>VLOOKUP(Standings!$B17,DummyStandings!$B$5:$BD$48,COLUMN()+32,FALSE)</f>
        <v>76</v>
      </c>
      <c r="L17" s="21">
        <f>VLOOKUP(Standings!$B17,DummyStandings!$B$5:$BD$48,COLUMN()+32,FALSE)</f>
        <v>7</v>
      </c>
      <c r="M17" s="21">
        <f>VLOOKUP(Standings!$B17,DummyStandings!$B$5:$BD$48,COLUMN()+32,FALSE)</f>
        <v>5</v>
      </c>
      <c r="N17" s="21">
        <f>VLOOKUP(Standings!$B17,DummyStandings!$B$5:$BD$48,COLUMN()+32,FALSE)</f>
        <v>2</v>
      </c>
      <c r="O17" s="21">
        <f>VLOOKUP(Standings!$B17,DummyStandings!$B$5:$BD$48,COLUMN()+32,FALSE)</f>
        <v>170</v>
      </c>
      <c r="P17" s="21">
        <f>VLOOKUP(Standings!$B17,DummyStandings!$B$5:$BD$48,COLUMN()+32,FALSE)</f>
        <v>107</v>
      </c>
      <c r="Q17" s="22">
        <f>VLOOKUP(Standings!$B17,DummyStandings!$B$5:$BD$48,COLUMN()+32,FALSE)</f>
        <v>63</v>
      </c>
      <c r="R17" s="21">
        <f>VLOOKUP(Standings!$B17,DummyStandings!$B$5:$BD$48,COLUMN()+32,FALSE)</f>
        <v>7</v>
      </c>
      <c r="S17" s="21">
        <f>VLOOKUP(Standings!$B17,DummyStandings!$B$5:$BD$48,COLUMN()+32,FALSE)</f>
        <v>4</v>
      </c>
      <c r="T17" s="21">
        <f>VLOOKUP(Standings!$B17,DummyStandings!$B$5:$BD$48,COLUMN()+32,FALSE)</f>
        <v>3</v>
      </c>
      <c r="U17" s="21">
        <f>VLOOKUP(Standings!$B17,DummyStandings!$B$5:$BD$48,COLUMN()+32,FALSE)</f>
        <v>135</v>
      </c>
      <c r="V17" s="21">
        <f>VLOOKUP(Standings!$B17,DummyStandings!$B$5:$BD$48,COLUMN()+32,FALSE)</f>
        <v>122</v>
      </c>
      <c r="W17" s="22">
        <f>VLOOKUP(Standings!$B17,DummyStandings!$B$5:$BD$48,COLUMN()+32,FALSE)</f>
        <v>13</v>
      </c>
    </row>
    <row r="18" spans="2:23" ht="11.25">
      <c r="B18" s="148">
        <v>15</v>
      </c>
      <c r="C18" s="128" t="str">
        <f>VLOOKUP(Standings!$B18,DummyStandings!$B$5:$BD$48,2,FALSE)</f>
        <v>Tim City University</v>
      </c>
      <c r="D18" s="124">
        <f t="shared" si="0"/>
        <v>4</v>
      </c>
      <c r="E18" s="121" t="str">
        <f>VLOOKUP(Standings!$B18,DummyStandings!$B$5:$BD$48,3,FALSE)</f>
        <v>Big Eight</v>
      </c>
      <c r="F18" s="6">
        <f>VLOOKUP(Standings!$B18,DummyStandings!$B$5:$BD$48,COLUMN()+32,FALSE)</f>
        <v>14</v>
      </c>
      <c r="G18" s="17">
        <f>VLOOKUP(Standings!$B18,DummyStandings!$B$5:$BD$48,COLUMN()+32,FALSE)</f>
        <v>8</v>
      </c>
      <c r="H18" s="17">
        <f>VLOOKUP(Standings!$B18,DummyStandings!$B$5:$BD$48,COLUMN()+32,FALSE)</f>
        <v>6</v>
      </c>
      <c r="I18" s="17">
        <f>VLOOKUP(Standings!$B18,DummyStandings!$B$5:$BD$48,COLUMN()+32,FALSE)</f>
        <v>254</v>
      </c>
      <c r="J18" s="17">
        <f>VLOOKUP(Standings!$B18,DummyStandings!$B$5:$BD$48,COLUMN()+32,FALSE)</f>
        <v>241</v>
      </c>
      <c r="K18" s="8">
        <f>VLOOKUP(Standings!$B18,DummyStandings!$B$5:$BD$48,COLUMN()+32,FALSE)</f>
        <v>13</v>
      </c>
      <c r="L18" s="21">
        <f>VLOOKUP(Standings!$B18,DummyStandings!$B$5:$BD$48,COLUMN()+32,FALSE)</f>
        <v>7</v>
      </c>
      <c r="M18" s="21">
        <f>VLOOKUP(Standings!$B18,DummyStandings!$B$5:$BD$48,COLUMN()+32,FALSE)</f>
        <v>5</v>
      </c>
      <c r="N18" s="21">
        <f>VLOOKUP(Standings!$B18,DummyStandings!$B$5:$BD$48,COLUMN()+32,FALSE)</f>
        <v>2</v>
      </c>
      <c r="O18" s="21">
        <f>VLOOKUP(Standings!$B18,DummyStandings!$B$5:$BD$48,COLUMN()+32,FALSE)</f>
        <v>158</v>
      </c>
      <c r="P18" s="21">
        <f>VLOOKUP(Standings!$B18,DummyStandings!$B$5:$BD$48,COLUMN()+32,FALSE)</f>
        <v>115</v>
      </c>
      <c r="Q18" s="22">
        <f>VLOOKUP(Standings!$B18,DummyStandings!$B$5:$BD$48,COLUMN()+32,FALSE)</f>
        <v>43</v>
      </c>
      <c r="R18" s="21">
        <f>VLOOKUP(Standings!$B18,DummyStandings!$B$5:$BD$48,COLUMN()+32,FALSE)</f>
        <v>7</v>
      </c>
      <c r="S18" s="21">
        <f>VLOOKUP(Standings!$B18,DummyStandings!$B$5:$BD$48,COLUMN()+32,FALSE)</f>
        <v>3</v>
      </c>
      <c r="T18" s="21">
        <f>VLOOKUP(Standings!$B18,DummyStandings!$B$5:$BD$48,COLUMN()+32,FALSE)</f>
        <v>4</v>
      </c>
      <c r="U18" s="21">
        <f>VLOOKUP(Standings!$B18,DummyStandings!$B$5:$BD$48,COLUMN()+32,FALSE)</f>
        <v>96</v>
      </c>
      <c r="V18" s="21">
        <f>VLOOKUP(Standings!$B18,DummyStandings!$B$5:$BD$48,COLUMN()+32,FALSE)</f>
        <v>126</v>
      </c>
      <c r="W18" s="22">
        <f>VLOOKUP(Standings!$B18,DummyStandings!$B$5:$BD$48,COLUMN()+32,FALSE)</f>
        <v>-30</v>
      </c>
    </row>
    <row r="19" spans="2:23" ht="12" thickBot="1">
      <c r="B19" s="150">
        <v>16</v>
      </c>
      <c r="C19" s="129" t="str">
        <f>VLOOKUP(Standings!$B19,DummyStandings!$B$5:$BD$48,2,FALSE)</f>
        <v>Alex Util College</v>
      </c>
      <c r="D19" s="126">
        <f t="shared" si="0"/>
        <v>4</v>
      </c>
      <c r="E19" s="125" t="str">
        <f>VLOOKUP(Standings!$B19,DummyStandings!$B$5:$BD$48,3,FALSE)</f>
        <v>Sequoia</v>
      </c>
      <c r="F19" s="4">
        <f>VLOOKUP(Standings!$B19,DummyStandings!$B$5:$BD$48,COLUMN()+32,FALSE)</f>
        <v>14</v>
      </c>
      <c r="G19" s="3">
        <f>VLOOKUP(Standings!$B19,DummyStandings!$B$5:$BD$48,COLUMN()+32,FALSE)</f>
        <v>7</v>
      </c>
      <c r="H19" s="3">
        <f>VLOOKUP(Standings!$B19,DummyStandings!$B$5:$BD$48,COLUMN()+32,FALSE)</f>
        <v>7</v>
      </c>
      <c r="I19" s="3">
        <f>VLOOKUP(Standings!$B19,DummyStandings!$B$5:$BD$48,COLUMN()+32,FALSE)</f>
        <v>213</v>
      </c>
      <c r="J19" s="3">
        <f>VLOOKUP(Standings!$B19,DummyStandings!$B$5:$BD$48,COLUMN()+32,FALSE)</f>
        <v>201</v>
      </c>
      <c r="K19" s="5">
        <f>VLOOKUP(Standings!$B19,DummyStandings!$B$5:$BD$48,COLUMN()+32,FALSE)</f>
        <v>12</v>
      </c>
      <c r="L19" s="23">
        <f>VLOOKUP(Standings!$B19,DummyStandings!$B$5:$BD$48,COLUMN()+32,FALSE)</f>
        <v>7</v>
      </c>
      <c r="M19" s="23">
        <f>VLOOKUP(Standings!$B19,DummyStandings!$B$5:$BD$48,COLUMN()+32,FALSE)</f>
        <v>4</v>
      </c>
      <c r="N19" s="23">
        <f>VLOOKUP(Standings!$B19,DummyStandings!$B$5:$BD$48,COLUMN()+32,FALSE)</f>
        <v>3</v>
      </c>
      <c r="O19" s="23">
        <f>VLOOKUP(Standings!$B19,DummyStandings!$B$5:$BD$48,COLUMN()+32,FALSE)</f>
        <v>107</v>
      </c>
      <c r="P19" s="23">
        <f>VLOOKUP(Standings!$B19,DummyStandings!$B$5:$BD$48,COLUMN()+32,FALSE)</f>
        <v>81</v>
      </c>
      <c r="Q19" s="24">
        <f>VLOOKUP(Standings!$B19,DummyStandings!$B$5:$BD$48,COLUMN()+32,FALSE)</f>
        <v>26</v>
      </c>
      <c r="R19" s="23">
        <f>VLOOKUP(Standings!$B19,DummyStandings!$B$5:$BD$48,COLUMN()+32,FALSE)</f>
        <v>7</v>
      </c>
      <c r="S19" s="23">
        <f>VLOOKUP(Standings!$B19,DummyStandings!$B$5:$BD$48,COLUMN()+32,FALSE)</f>
        <v>3</v>
      </c>
      <c r="T19" s="23">
        <f>VLOOKUP(Standings!$B19,DummyStandings!$B$5:$BD$48,COLUMN()+32,FALSE)</f>
        <v>4</v>
      </c>
      <c r="U19" s="23">
        <f>VLOOKUP(Standings!$B19,DummyStandings!$B$5:$BD$48,COLUMN()+32,FALSE)</f>
        <v>106</v>
      </c>
      <c r="V19" s="23">
        <f>VLOOKUP(Standings!$B19,DummyStandings!$B$5:$BD$48,COLUMN()+32,FALSE)</f>
        <v>120</v>
      </c>
      <c r="W19" s="24">
        <f>VLOOKUP(Standings!$B19,DummyStandings!$B$5:$BD$48,COLUMN()+32,FALSE)</f>
        <v>-14</v>
      </c>
    </row>
    <row r="20" spans="2:23" ht="11.25">
      <c r="B20" s="25">
        <v>17</v>
      </c>
      <c r="C20" s="128" t="str">
        <f>VLOOKUP(Standings!$B20,DummyStandings!$B$5:$BD$48,2,FALSE)</f>
        <v>Fair Haven State University</v>
      </c>
      <c r="D20" s="124">
        <f t="shared" si="0"/>
        <v>5</v>
      </c>
      <c r="E20" s="121" t="str">
        <f>VLOOKUP(Standings!$B20,DummyStandings!$B$5:$BD$48,3,FALSE)</f>
        <v>Sequoia</v>
      </c>
      <c r="F20" s="6">
        <f>VLOOKUP(Standings!$B20,DummyStandings!$B$5:$BD$48,COLUMN()+32,FALSE)</f>
        <v>14</v>
      </c>
      <c r="G20" s="17">
        <f>VLOOKUP(Standings!$B20,DummyStandings!$B$5:$BD$48,COLUMN()+32,FALSE)</f>
        <v>7</v>
      </c>
      <c r="H20" s="17">
        <f>VLOOKUP(Standings!$B20,DummyStandings!$B$5:$BD$48,COLUMN()+32,FALSE)</f>
        <v>7</v>
      </c>
      <c r="I20" s="17">
        <f>VLOOKUP(Standings!$B20,DummyStandings!$B$5:$BD$48,COLUMN()+32,FALSE)</f>
        <v>293</v>
      </c>
      <c r="J20" s="17">
        <f>VLOOKUP(Standings!$B20,DummyStandings!$B$5:$BD$48,COLUMN()+32,FALSE)</f>
        <v>262</v>
      </c>
      <c r="K20" s="8">
        <f>VLOOKUP(Standings!$B20,DummyStandings!$B$5:$BD$48,COLUMN()+32,FALSE)</f>
        <v>31</v>
      </c>
      <c r="L20" s="21">
        <f>VLOOKUP(Standings!$B20,DummyStandings!$B$5:$BD$48,COLUMN()+32,FALSE)</f>
        <v>7</v>
      </c>
      <c r="M20" s="21">
        <f>VLOOKUP(Standings!$B20,DummyStandings!$B$5:$BD$48,COLUMN()+32,FALSE)</f>
        <v>4</v>
      </c>
      <c r="N20" s="21">
        <f>VLOOKUP(Standings!$B20,DummyStandings!$B$5:$BD$48,COLUMN()+32,FALSE)</f>
        <v>3</v>
      </c>
      <c r="O20" s="21">
        <f>VLOOKUP(Standings!$B20,DummyStandings!$B$5:$BD$48,COLUMN()+32,FALSE)</f>
        <v>161</v>
      </c>
      <c r="P20" s="21">
        <f>VLOOKUP(Standings!$B20,DummyStandings!$B$5:$BD$48,COLUMN()+32,FALSE)</f>
        <v>139</v>
      </c>
      <c r="Q20" s="22">
        <f>VLOOKUP(Standings!$B20,DummyStandings!$B$5:$BD$48,COLUMN()+32,FALSE)</f>
        <v>22</v>
      </c>
      <c r="R20" s="21">
        <f>VLOOKUP(Standings!$B20,DummyStandings!$B$5:$BD$48,COLUMN()+32,FALSE)</f>
        <v>7</v>
      </c>
      <c r="S20" s="21">
        <f>VLOOKUP(Standings!$B20,DummyStandings!$B$5:$BD$48,COLUMN()+32,FALSE)</f>
        <v>3</v>
      </c>
      <c r="T20" s="21">
        <f>VLOOKUP(Standings!$B20,DummyStandings!$B$5:$BD$48,COLUMN()+32,FALSE)</f>
        <v>4</v>
      </c>
      <c r="U20" s="21">
        <f>VLOOKUP(Standings!$B20,DummyStandings!$B$5:$BD$48,COLUMN()+32,FALSE)</f>
        <v>132</v>
      </c>
      <c r="V20" s="21">
        <f>VLOOKUP(Standings!$B20,DummyStandings!$B$5:$BD$48,COLUMN()+32,FALSE)</f>
        <v>123</v>
      </c>
      <c r="W20" s="22">
        <f>VLOOKUP(Standings!$B20,DummyStandings!$B$5:$BD$48,COLUMN()+32,FALSE)</f>
        <v>9</v>
      </c>
    </row>
    <row r="21" spans="2:23" ht="11.25">
      <c r="B21" s="25">
        <v>18</v>
      </c>
      <c r="C21" s="128" t="str">
        <f>VLOOKUP(Standings!$B21,DummyStandings!$B$5:$BD$48,2,FALSE)</f>
        <v>University of Spitfyred - North</v>
      </c>
      <c r="D21" s="124">
        <f t="shared" si="0"/>
        <v>3</v>
      </c>
      <c r="E21" s="121" t="str">
        <f>VLOOKUP(Standings!$B21,DummyStandings!$B$5:$BD$48,3,FALSE)</f>
        <v>Horizon</v>
      </c>
      <c r="F21" s="6">
        <f>VLOOKUP(Standings!$B21,DummyStandings!$B$5:$BD$48,COLUMN()+32,FALSE)</f>
        <v>14</v>
      </c>
      <c r="G21" s="17">
        <f>VLOOKUP(Standings!$B21,DummyStandings!$B$5:$BD$48,COLUMN()+32,FALSE)</f>
        <v>7</v>
      </c>
      <c r="H21" s="17">
        <f>VLOOKUP(Standings!$B21,DummyStandings!$B$5:$BD$48,COLUMN()+32,FALSE)</f>
        <v>7</v>
      </c>
      <c r="I21" s="17">
        <f>VLOOKUP(Standings!$B21,DummyStandings!$B$5:$BD$48,COLUMN()+32,FALSE)</f>
        <v>267</v>
      </c>
      <c r="J21" s="17">
        <f>VLOOKUP(Standings!$B21,DummyStandings!$B$5:$BD$48,COLUMN()+32,FALSE)</f>
        <v>219</v>
      </c>
      <c r="K21" s="8">
        <f>VLOOKUP(Standings!$B21,DummyStandings!$B$5:$BD$48,COLUMN()+32,FALSE)</f>
        <v>48</v>
      </c>
      <c r="L21" s="21">
        <f>VLOOKUP(Standings!$B21,DummyStandings!$B$5:$BD$48,COLUMN()+32,FALSE)</f>
        <v>7</v>
      </c>
      <c r="M21" s="21">
        <f>VLOOKUP(Standings!$B21,DummyStandings!$B$5:$BD$48,COLUMN()+32,FALSE)</f>
        <v>4</v>
      </c>
      <c r="N21" s="21">
        <f>VLOOKUP(Standings!$B21,DummyStandings!$B$5:$BD$48,COLUMN()+32,FALSE)</f>
        <v>3</v>
      </c>
      <c r="O21" s="21">
        <f>VLOOKUP(Standings!$B21,DummyStandings!$B$5:$BD$48,COLUMN()+32,FALSE)</f>
        <v>140</v>
      </c>
      <c r="P21" s="21">
        <f>VLOOKUP(Standings!$B21,DummyStandings!$B$5:$BD$48,COLUMN()+32,FALSE)</f>
        <v>85</v>
      </c>
      <c r="Q21" s="22">
        <f>VLOOKUP(Standings!$B21,DummyStandings!$B$5:$BD$48,COLUMN()+32,FALSE)</f>
        <v>55</v>
      </c>
      <c r="R21" s="21">
        <f>VLOOKUP(Standings!$B21,DummyStandings!$B$5:$BD$48,COLUMN()+32,FALSE)</f>
        <v>7</v>
      </c>
      <c r="S21" s="21">
        <f>VLOOKUP(Standings!$B21,DummyStandings!$B$5:$BD$48,COLUMN()+32,FALSE)</f>
        <v>3</v>
      </c>
      <c r="T21" s="21">
        <f>VLOOKUP(Standings!$B21,DummyStandings!$B$5:$BD$48,COLUMN()+32,FALSE)</f>
        <v>4</v>
      </c>
      <c r="U21" s="21">
        <f>VLOOKUP(Standings!$B21,DummyStandings!$B$5:$BD$48,COLUMN()+32,FALSE)</f>
        <v>127</v>
      </c>
      <c r="V21" s="21">
        <f>VLOOKUP(Standings!$B21,DummyStandings!$B$5:$BD$48,COLUMN()+32,FALSE)</f>
        <v>134</v>
      </c>
      <c r="W21" s="22">
        <f>VLOOKUP(Standings!$B21,DummyStandings!$B$5:$BD$48,COLUMN()+32,FALSE)</f>
        <v>-7</v>
      </c>
    </row>
    <row r="22" spans="2:23" ht="11.25">
      <c r="B22" s="25">
        <v>19</v>
      </c>
      <c r="C22" s="128" t="str">
        <f>VLOOKUP(Standings!$B22,DummyStandings!$B$5:$BD$48,2,FALSE)</f>
        <v>Bucktown University</v>
      </c>
      <c r="D22" s="124">
        <f t="shared" si="0"/>
        <v>5</v>
      </c>
      <c r="E22" s="121" t="str">
        <f>VLOOKUP(Standings!$B22,DummyStandings!$B$5:$BD$48,3,FALSE)</f>
        <v>Woodlands</v>
      </c>
      <c r="F22" s="6">
        <f>VLOOKUP(Standings!$B22,DummyStandings!$B$5:$BD$48,COLUMN()+32,FALSE)</f>
        <v>14</v>
      </c>
      <c r="G22" s="17">
        <f>VLOOKUP(Standings!$B22,DummyStandings!$B$5:$BD$48,COLUMN()+32,FALSE)</f>
        <v>7</v>
      </c>
      <c r="H22" s="17">
        <f>VLOOKUP(Standings!$B22,DummyStandings!$B$5:$BD$48,COLUMN()+32,FALSE)</f>
        <v>7</v>
      </c>
      <c r="I22" s="17">
        <f>VLOOKUP(Standings!$B22,DummyStandings!$B$5:$BD$48,COLUMN()+32,FALSE)</f>
        <v>211</v>
      </c>
      <c r="J22" s="17">
        <f>VLOOKUP(Standings!$B22,DummyStandings!$B$5:$BD$48,COLUMN()+32,FALSE)</f>
        <v>209</v>
      </c>
      <c r="K22" s="8">
        <f>VLOOKUP(Standings!$B22,DummyStandings!$B$5:$BD$48,COLUMN()+32,FALSE)</f>
        <v>2</v>
      </c>
      <c r="L22" s="21">
        <f>VLOOKUP(Standings!$B22,DummyStandings!$B$5:$BD$48,COLUMN()+32,FALSE)</f>
        <v>7</v>
      </c>
      <c r="M22" s="21">
        <f>VLOOKUP(Standings!$B22,DummyStandings!$B$5:$BD$48,COLUMN()+32,FALSE)</f>
        <v>3</v>
      </c>
      <c r="N22" s="21">
        <f>VLOOKUP(Standings!$B22,DummyStandings!$B$5:$BD$48,COLUMN()+32,FALSE)</f>
        <v>4</v>
      </c>
      <c r="O22" s="21">
        <f>VLOOKUP(Standings!$B22,DummyStandings!$B$5:$BD$48,COLUMN()+32,FALSE)</f>
        <v>105</v>
      </c>
      <c r="P22" s="21">
        <f>VLOOKUP(Standings!$B22,DummyStandings!$B$5:$BD$48,COLUMN()+32,FALSE)</f>
        <v>100</v>
      </c>
      <c r="Q22" s="22">
        <f>VLOOKUP(Standings!$B22,DummyStandings!$B$5:$BD$48,COLUMN()+32,FALSE)</f>
        <v>5</v>
      </c>
      <c r="R22" s="21">
        <f>VLOOKUP(Standings!$B22,DummyStandings!$B$5:$BD$48,COLUMN()+32,FALSE)</f>
        <v>7</v>
      </c>
      <c r="S22" s="21">
        <f>VLOOKUP(Standings!$B22,DummyStandings!$B$5:$BD$48,COLUMN()+32,FALSE)</f>
        <v>4</v>
      </c>
      <c r="T22" s="21">
        <f>VLOOKUP(Standings!$B22,DummyStandings!$B$5:$BD$48,COLUMN()+32,FALSE)</f>
        <v>3</v>
      </c>
      <c r="U22" s="21">
        <f>VLOOKUP(Standings!$B22,DummyStandings!$B$5:$BD$48,COLUMN()+32,FALSE)</f>
        <v>106</v>
      </c>
      <c r="V22" s="21">
        <f>VLOOKUP(Standings!$B22,DummyStandings!$B$5:$BD$48,COLUMN()+32,FALSE)</f>
        <v>109</v>
      </c>
      <c r="W22" s="22">
        <f>VLOOKUP(Standings!$B22,DummyStandings!$B$5:$BD$48,COLUMN()+32,FALSE)</f>
        <v>-3</v>
      </c>
    </row>
    <row r="23" spans="2:23" ht="11.25">
      <c r="B23" s="25">
        <v>20</v>
      </c>
      <c r="C23" s="128" t="str">
        <f>VLOOKUP(Standings!$B23,DummyStandings!$B$5:$BD$48,2,FALSE)</f>
        <v>East Kilbride University</v>
      </c>
      <c r="D23" s="124">
        <f t="shared" si="0"/>
        <v>3</v>
      </c>
      <c r="E23" s="121" t="str">
        <f>VLOOKUP(Standings!$B23,DummyStandings!$B$5:$BD$48,3,FALSE)</f>
        <v>Mineral</v>
      </c>
      <c r="F23" s="6">
        <f>VLOOKUP(Standings!$B23,DummyStandings!$B$5:$BD$48,COLUMN()+32,FALSE)</f>
        <v>14</v>
      </c>
      <c r="G23" s="17">
        <f>VLOOKUP(Standings!$B23,DummyStandings!$B$5:$BD$48,COLUMN()+32,FALSE)</f>
        <v>7</v>
      </c>
      <c r="H23" s="17">
        <f>VLOOKUP(Standings!$B23,DummyStandings!$B$5:$BD$48,COLUMN()+32,FALSE)</f>
        <v>7</v>
      </c>
      <c r="I23" s="17">
        <f>VLOOKUP(Standings!$B23,DummyStandings!$B$5:$BD$48,COLUMN()+32,FALSE)</f>
        <v>215</v>
      </c>
      <c r="J23" s="17">
        <f>VLOOKUP(Standings!$B23,DummyStandings!$B$5:$BD$48,COLUMN()+32,FALSE)</f>
        <v>299</v>
      </c>
      <c r="K23" s="8">
        <f>VLOOKUP(Standings!$B23,DummyStandings!$B$5:$BD$48,COLUMN()+32,FALSE)</f>
        <v>-84</v>
      </c>
      <c r="L23" s="21">
        <f>VLOOKUP(Standings!$B23,DummyStandings!$B$5:$BD$48,COLUMN()+32,FALSE)</f>
        <v>7</v>
      </c>
      <c r="M23" s="21">
        <f>VLOOKUP(Standings!$B23,DummyStandings!$B$5:$BD$48,COLUMN()+32,FALSE)</f>
        <v>4</v>
      </c>
      <c r="N23" s="21">
        <f>VLOOKUP(Standings!$B23,DummyStandings!$B$5:$BD$48,COLUMN()+32,FALSE)</f>
        <v>3</v>
      </c>
      <c r="O23" s="21">
        <f>VLOOKUP(Standings!$B23,DummyStandings!$B$5:$BD$48,COLUMN()+32,FALSE)</f>
        <v>119</v>
      </c>
      <c r="P23" s="21">
        <f>VLOOKUP(Standings!$B23,DummyStandings!$B$5:$BD$48,COLUMN()+32,FALSE)</f>
        <v>147</v>
      </c>
      <c r="Q23" s="22">
        <f>VLOOKUP(Standings!$B23,DummyStandings!$B$5:$BD$48,COLUMN()+32,FALSE)</f>
        <v>-28</v>
      </c>
      <c r="R23" s="21">
        <f>VLOOKUP(Standings!$B23,DummyStandings!$B$5:$BD$48,COLUMN()+32,FALSE)</f>
        <v>7</v>
      </c>
      <c r="S23" s="21">
        <f>VLOOKUP(Standings!$B23,DummyStandings!$B$5:$BD$48,COLUMN()+32,FALSE)</f>
        <v>3</v>
      </c>
      <c r="T23" s="21">
        <f>VLOOKUP(Standings!$B23,DummyStandings!$B$5:$BD$48,COLUMN()+32,FALSE)</f>
        <v>4</v>
      </c>
      <c r="U23" s="21">
        <f>VLOOKUP(Standings!$B23,DummyStandings!$B$5:$BD$48,COLUMN()+32,FALSE)</f>
        <v>96</v>
      </c>
      <c r="V23" s="21">
        <f>VLOOKUP(Standings!$B23,DummyStandings!$B$5:$BD$48,COLUMN()+32,FALSE)</f>
        <v>152</v>
      </c>
      <c r="W23" s="22">
        <f>VLOOKUP(Standings!$B23,DummyStandings!$B$5:$BD$48,COLUMN()+32,FALSE)</f>
        <v>-56</v>
      </c>
    </row>
    <row r="24" spans="2:23" ht="11.25">
      <c r="B24" s="25">
        <v>21</v>
      </c>
      <c r="C24" s="128" t="str">
        <f>VLOOKUP(Standings!$B24,DummyStandings!$B$5:$BD$48,2,FALSE)</f>
        <v>Red State University</v>
      </c>
      <c r="D24" s="124">
        <f t="shared" si="0"/>
        <v>4</v>
      </c>
      <c r="E24" s="121" t="str">
        <f>VLOOKUP(Standings!$B24,DummyStandings!$B$5:$BD$48,3,FALSE)</f>
        <v>Horizon</v>
      </c>
      <c r="F24" s="6">
        <f>VLOOKUP(Standings!$B24,DummyStandings!$B$5:$BD$48,COLUMN()+32,FALSE)</f>
        <v>14</v>
      </c>
      <c r="G24" s="17">
        <f>VLOOKUP(Standings!$B24,DummyStandings!$B$5:$BD$48,COLUMN()+32,FALSE)</f>
        <v>6</v>
      </c>
      <c r="H24" s="17">
        <f>VLOOKUP(Standings!$B24,DummyStandings!$B$5:$BD$48,COLUMN()+32,FALSE)</f>
        <v>8</v>
      </c>
      <c r="I24" s="17">
        <f>VLOOKUP(Standings!$B24,DummyStandings!$B$5:$BD$48,COLUMN()+32,FALSE)</f>
        <v>160</v>
      </c>
      <c r="J24" s="17">
        <f>VLOOKUP(Standings!$B24,DummyStandings!$B$5:$BD$48,COLUMN()+32,FALSE)</f>
        <v>211</v>
      </c>
      <c r="K24" s="8">
        <f>VLOOKUP(Standings!$B24,DummyStandings!$B$5:$BD$48,COLUMN()+32,FALSE)</f>
        <v>-51</v>
      </c>
      <c r="L24" s="21">
        <f>VLOOKUP(Standings!$B24,DummyStandings!$B$5:$BD$48,COLUMN()+32,FALSE)</f>
        <v>7</v>
      </c>
      <c r="M24" s="21">
        <f>VLOOKUP(Standings!$B24,DummyStandings!$B$5:$BD$48,COLUMN()+32,FALSE)</f>
        <v>5</v>
      </c>
      <c r="N24" s="21">
        <f>VLOOKUP(Standings!$B24,DummyStandings!$B$5:$BD$48,COLUMN()+32,FALSE)</f>
        <v>2</v>
      </c>
      <c r="O24" s="21">
        <f>VLOOKUP(Standings!$B24,DummyStandings!$B$5:$BD$48,COLUMN()+32,FALSE)</f>
        <v>88</v>
      </c>
      <c r="P24" s="21">
        <f>VLOOKUP(Standings!$B24,DummyStandings!$B$5:$BD$48,COLUMN()+32,FALSE)</f>
        <v>76</v>
      </c>
      <c r="Q24" s="22">
        <f>VLOOKUP(Standings!$B24,DummyStandings!$B$5:$BD$48,COLUMN()+32,FALSE)</f>
        <v>12</v>
      </c>
      <c r="R24" s="21">
        <f>VLOOKUP(Standings!$B24,DummyStandings!$B$5:$BD$48,COLUMN()+32,FALSE)</f>
        <v>7</v>
      </c>
      <c r="S24" s="21">
        <f>VLOOKUP(Standings!$B24,DummyStandings!$B$5:$BD$48,COLUMN()+32,FALSE)</f>
        <v>1</v>
      </c>
      <c r="T24" s="21">
        <f>VLOOKUP(Standings!$B24,DummyStandings!$B$5:$BD$48,COLUMN()+32,FALSE)</f>
        <v>6</v>
      </c>
      <c r="U24" s="21">
        <f>VLOOKUP(Standings!$B24,DummyStandings!$B$5:$BD$48,COLUMN()+32,FALSE)</f>
        <v>72</v>
      </c>
      <c r="V24" s="21">
        <f>VLOOKUP(Standings!$B24,DummyStandings!$B$5:$BD$48,COLUMN()+32,FALSE)</f>
        <v>135</v>
      </c>
      <c r="W24" s="22">
        <f>VLOOKUP(Standings!$B24,DummyStandings!$B$5:$BD$48,COLUMN()+32,FALSE)</f>
        <v>-63</v>
      </c>
    </row>
    <row r="25" spans="2:23" ht="11.25">
      <c r="B25" s="25">
        <v>22</v>
      </c>
      <c r="C25" s="128" t="str">
        <f>VLOOKUP(Standings!$B25,DummyStandings!$B$5:$BD$48,2,FALSE)</f>
        <v>Indana University</v>
      </c>
      <c r="D25" s="124">
        <f t="shared" si="0"/>
        <v>5</v>
      </c>
      <c r="E25" s="121" t="str">
        <f>VLOOKUP(Standings!$B25,DummyStandings!$B$5:$BD$48,3,FALSE)</f>
        <v>Horizon</v>
      </c>
      <c r="F25" s="6">
        <f>VLOOKUP(Standings!$B25,DummyStandings!$B$5:$BD$48,COLUMN()+32,FALSE)</f>
        <v>14</v>
      </c>
      <c r="G25" s="17">
        <f>VLOOKUP(Standings!$B25,DummyStandings!$B$5:$BD$48,COLUMN()+32,FALSE)</f>
        <v>6</v>
      </c>
      <c r="H25" s="17">
        <f>VLOOKUP(Standings!$B25,DummyStandings!$B$5:$BD$48,COLUMN()+32,FALSE)</f>
        <v>8</v>
      </c>
      <c r="I25" s="17">
        <f>VLOOKUP(Standings!$B25,DummyStandings!$B$5:$BD$48,COLUMN()+32,FALSE)</f>
        <v>172</v>
      </c>
      <c r="J25" s="17">
        <f>VLOOKUP(Standings!$B25,DummyStandings!$B$5:$BD$48,COLUMN()+32,FALSE)</f>
        <v>238</v>
      </c>
      <c r="K25" s="8">
        <f>VLOOKUP(Standings!$B25,DummyStandings!$B$5:$BD$48,COLUMN()+32,FALSE)</f>
        <v>-66</v>
      </c>
      <c r="L25" s="21">
        <f>VLOOKUP(Standings!$B25,DummyStandings!$B$5:$BD$48,COLUMN()+32,FALSE)</f>
        <v>7</v>
      </c>
      <c r="M25" s="21">
        <f>VLOOKUP(Standings!$B25,DummyStandings!$B$5:$BD$48,COLUMN()+32,FALSE)</f>
        <v>4</v>
      </c>
      <c r="N25" s="21">
        <f>VLOOKUP(Standings!$B25,DummyStandings!$B$5:$BD$48,COLUMN()+32,FALSE)</f>
        <v>3</v>
      </c>
      <c r="O25" s="21">
        <f>VLOOKUP(Standings!$B25,DummyStandings!$B$5:$BD$48,COLUMN()+32,FALSE)</f>
        <v>107</v>
      </c>
      <c r="P25" s="21">
        <f>VLOOKUP(Standings!$B25,DummyStandings!$B$5:$BD$48,COLUMN()+32,FALSE)</f>
        <v>107</v>
      </c>
      <c r="Q25" s="22">
        <f>VLOOKUP(Standings!$B25,DummyStandings!$B$5:$BD$48,COLUMN()+32,FALSE)</f>
        <v>0</v>
      </c>
      <c r="R25" s="21">
        <f>VLOOKUP(Standings!$B25,DummyStandings!$B$5:$BD$48,COLUMN()+32,FALSE)</f>
        <v>7</v>
      </c>
      <c r="S25" s="21">
        <f>VLOOKUP(Standings!$B25,DummyStandings!$B$5:$BD$48,COLUMN()+32,FALSE)</f>
        <v>2</v>
      </c>
      <c r="T25" s="21">
        <f>VLOOKUP(Standings!$B25,DummyStandings!$B$5:$BD$48,COLUMN()+32,FALSE)</f>
        <v>5</v>
      </c>
      <c r="U25" s="21">
        <f>VLOOKUP(Standings!$B25,DummyStandings!$B$5:$BD$48,COLUMN()+32,FALSE)</f>
        <v>65</v>
      </c>
      <c r="V25" s="21">
        <f>VLOOKUP(Standings!$B25,DummyStandings!$B$5:$BD$48,COLUMN()+32,FALSE)</f>
        <v>131</v>
      </c>
      <c r="W25" s="22">
        <f>VLOOKUP(Standings!$B25,DummyStandings!$B$5:$BD$48,COLUMN()+32,FALSE)</f>
        <v>-66</v>
      </c>
    </row>
    <row r="26" spans="2:23" ht="11.25">
      <c r="B26" s="25">
        <v>23</v>
      </c>
      <c r="C26" s="128" t="str">
        <f>VLOOKUP(Standings!$B26,DummyStandings!$B$5:$BD$48,2,FALSE)</f>
        <v>Arlnet University</v>
      </c>
      <c r="D26" s="124">
        <f t="shared" si="0"/>
        <v>5</v>
      </c>
      <c r="E26" s="121" t="str">
        <f>VLOOKUP(Standings!$B26,DummyStandings!$B$5:$BD$48,3,FALSE)</f>
        <v>Big Eight</v>
      </c>
      <c r="F26" s="6">
        <f>VLOOKUP(Standings!$B26,DummyStandings!$B$5:$BD$48,COLUMN()+32,FALSE)</f>
        <v>14</v>
      </c>
      <c r="G26" s="17">
        <f>VLOOKUP(Standings!$B26,DummyStandings!$B$5:$BD$48,COLUMN()+32,FALSE)</f>
        <v>6</v>
      </c>
      <c r="H26" s="17">
        <f>VLOOKUP(Standings!$B26,DummyStandings!$B$5:$BD$48,COLUMN()+32,FALSE)</f>
        <v>8</v>
      </c>
      <c r="I26" s="17">
        <f>VLOOKUP(Standings!$B26,DummyStandings!$B$5:$BD$48,COLUMN()+32,FALSE)</f>
        <v>215</v>
      </c>
      <c r="J26" s="17">
        <f>VLOOKUP(Standings!$B26,DummyStandings!$B$5:$BD$48,COLUMN()+32,FALSE)</f>
        <v>222</v>
      </c>
      <c r="K26" s="8">
        <f>VLOOKUP(Standings!$B26,DummyStandings!$B$5:$BD$48,COLUMN()+32,FALSE)</f>
        <v>-7</v>
      </c>
      <c r="L26" s="21">
        <f>VLOOKUP(Standings!$B26,DummyStandings!$B$5:$BD$48,COLUMN()+32,FALSE)</f>
        <v>7</v>
      </c>
      <c r="M26" s="21">
        <f>VLOOKUP(Standings!$B26,DummyStandings!$B$5:$BD$48,COLUMN()+32,FALSE)</f>
        <v>2</v>
      </c>
      <c r="N26" s="21">
        <f>VLOOKUP(Standings!$B26,DummyStandings!$B$5:$BD$48,COLUMN()+32,FALSE)</f>
        <v>5</v>
      </c>
      <c r="O26" s="21">
        <f>VLOOKUP(Standings!$B26,DummyStandings!$B$5:$BD$48,COLUMN()+32,FALSE)</f>
        <v>106</v>
      </c>
      <c r="P26" s="21">
        <f>VLOOKUP(Standings!$B26,DummyStandings!$B$5:$BD$48,COLUMN()+32,FALSE)</f>
        <v>132</v>
      </c>
      <c r="Q26" s="22">
        <f>VLOOKUP(Standings!$B26,DummyStandings!$B$5:$BD$48,COLUMN()+32,FALSE)</f>
        <v>-26</v>
      </c>
      <c r="R26" s="21">
        <f>VLOOKUP(Standings!$B26,DummyStandings!$B$5:$BD$48,COLUMN()+32,FALSE)</f>
        <v>7</v>
      </c>
      <c r="S26" s="21">
        <f>VLOOKUP(Standings!$B26,DummyStandings!$B$5:$BD$48,COLUMN()+32,FALSE)</f>
        <v>4</v>
      </c>
      <c r="T26" s="21">
        <f>VLOOKUP(Standings!$B26,DummyStandings!$B$5:$BD$48,COLUMN()+32,FALSE)</f>
        <v>3</v>
      </c>
      <c r="U26" s="21">
        <f>VLOOKUP(Standings!$B26,DummyStandings!$B$5:$BD$48,COLUMN()+32,FALSE)</f>
        <v>109</v>
      </c>
      <c r="V26" s="21">
        <f>VLOOKUP(Standings!$B26,DummyStandings!$B$5:$BD$48,COLUMN()+32,FALSE)</f>
        <v>90</v>
      </c>
      <c r="W26" s="22">
        <f>VLOOKUP(Standings!$B26,DummyStandings!$B$5:$BD$48,COLUMN()+32,FALSE)</f>
        <v>19</v>
      </c>
    </row>
    <row r="27" spans="2:23" ht="11.25">
      <c r="B27" s="25">
        <v>24</v>
      </c>
      <c r="C27" s="128" t="str">
        <f>VLOOKUP(Standings!$B27,DummyStandings!$B$5:$BD$48,2,FALSE)</f>
        <v>West Siena Institute of Technology</v>
      </c>
      <c r="D27" s="124">
        <f t="shared" si="0"/>
        <v>4</v>
      </c>
      <c r="E27" s="121" t="str">
        <f>VLOOKUP(Standings!$B27,DummyStandings!$B$5:$BD$48,3,FALSE)</f>
        <v>Mineral</v>
      </c>
      <c r="F27" s="6">
        <f>VLOOKUP(Standings!$B27,DummyStandings!$B$5:$BD$48,COLUMN()+32,FALSE)</f>
        <v>14</v>
      </c>
      <c r="G27" s="17">
        <f>VLOOKUP(Standings!$B27,DummyStandings!$B$5:$BD$48,COLUMN()+32,FALSE)</f>
        <v>5</v>
      </c>
      <c r="H27" s="17">
        <f>VLOOKUP(Standings!$B27,DummyStandings!$B$5:$BD$48,COLUMN()+32,FALSE)</f>
        <v>9</v>
      </c>
      <c r="I27" s="17">
        <f>VLOOKUP(Standings!$B27,DummyStandings!$B$5:$BD$48,COLUMN()+32,FALSE)</f>
        <v>188</v>
      </c>
      <c r="J27" s="17">
        <f>VLOOKUP(Standings!$B27,DummyStandings!$B$5:$BD$48,COLUMN()+32,FALSE)</f>
        <v>284</v>
      </c>
      <c r="K27" s="8">
        <f>VLOOKUP(Standings!$B27,DummyStandings!$B$5:$BD$48,COLUMN()+32,FALSE)</f>
        <v>-96</v>
      </c>
      <c r="L27" s="21">
        <f>VLOOKUP(Standings!$B27,DummyStandings!$B$5:$BD$48,COLUMN()+32,FALSE)</f>
        <v>7</v>
      </c>
      <c r="M27" s="21">
        <f>VLOOKUP(Standings!$B27,DummyStandings!$B$5:$BD$48,COLUMN()+32,FALSE)</f>
        <v>3</v>
      </c>
      <c r="N27" s="21">
        <f>VLOOKUP(Standings!$B27,DummyStandings!$B$5:$BD$48,COLUMN()+32,FALSE)</f>
        <v>4</v>
      </c>
      <c r="O27" s="21">
        <f>VLOOKUP(Standings!$B27,DummyStandings!$B$5:$BD$48,COLUMN()+32,FALSE)</f>
        <v>123</v>
      </c>
      <c r="P27" s="21">
        <f>VLOOKUP(Standings!$B27,DummyStandings!$B$5:$BD$48,COLUMN()+32,FALSE)</f>
        <v>146</v>
      </c>
      <c r="Q27" s="22">
        <f>VLOOKUP(Standings!$B27,DummyStandings!$B$5:$BD$48,COLUMN()+32,FALSE)</f>
        <v>-23</v>
      </c>
      <c r="R27" s="21">
        <f>VLOOKUP(Standings!$B27,DummyStandings!$B$5:$BD$48,COLUMN()+32,FALSE)</f>
        <v>7</v>
      </c>
      <c r="S27" s="21">
        <f>VLOOKUP(Standings!$B27,DummyStandings!$B$5:$BD$48,COLUMN()+32,FALSE)</f>
        <v>2</v>
      </c>
      <c r="T27" s="21">
        <f>VLOOKUP(Standings!$B27,DummyStandings!$B$5:$BD$48,COLUMN()+32,FALSE)</f>
        <v>5</v>
      </c>
      <c r="U27" s="21">
        <f>VLOOKUP(Standings!$B27,DummyStandings!$B$5:$BD$48,COLUMN()+32,FALSE)</f>
        <v>65</v>
      </c>
      <c r="V27" s="21">
        <f>VLOOKUP(Standings!$B27,DummyStandings!$B$5:$BD$48,COLUMN()+32,FALSE)</f>
        <v>138</v>
      </c>
      <c r="W27" s="22">
        <f>VLOOKUP(Standings!$B27,DummyStandings!$B$5:$BD$48,COLUMN()+32,FALSE)</f>
        <v>-73</v>
      </c>
    </row>
    <row r="28" spans="2:23" ht="11.25">
      <c r="B28" s="25">
        <v>25</v>
      </c>
      <c r="C28" s="128" t="str">
        <f>VLOOKUP(Standings!$B28,DummyStandings!$B$5:$BD$48,2,FALSE)</f>
        <v>Caroga University</v>
      </c>
      <c r="D28" s="124">
        <f t="shared" si="0"/>
        <v>5</v>
      </c>
      <c r="E28" s="121" t="str">
        <f>VLOOKUP(Standings!$B28,DummyStandings!$B$5:$BD$48,3,FALSE)</f>
        <v>Mineral</v>
      </c>
      <c r="F28" s="6">
        <f>VLOOKUP(Standings!$B28,DummyStandings!$B$5:$BD$48,COLUMN()+32,FALSE)</f>
        <v>14</v>
      </c>
      <c r="G28" s="17">
        <f>VLOOKUP(Standings!$B28,DummyStandings!$B$5:$BD$48,COLUMN()+32,FALSE)</f>
        <v>5</v>
      </c>
      <c r="H28" s="17">
        <f>VLOOKUP(Standings!$B28,DummyStandings!$B$5:$BD$48,COLUMN()+32,FALSE)</f>
        <v>9</v>
      </c>
      <c r="I28" s="17">
        <f>VLOOKUP(Standings!$B28,DummyStandings!$B$5:$BD$48,COLUMN()+32,FALSE)</f>
        <v>176</v>
      </c>
      <c r="J28" s="17">
        <f>VLOOKUP(Standings!$B28,DummyStandings!$B$5:$BD$48,COLUMN()+32,FALSE)</f>
        <v>231</v>
      </c>
      <c r="K28" s="8">
        <f>VLOOKUP(Standings!$B28,DummyStandings!$B$5:$BD$48,COLUMN()+32,FALSE)</f>
        <v>-55</v>
      </c>
      <c r="L28" s="21">
        <f>VLOOKUP(Standings!$B28,DummyStandings!$B$5:$BD$48,COLUMN()+32,FALSE)</f>
        <v>7</v>
      </c>
      <c r="M28" s="21">
        <f>VLOOKUP(Standings!$B28,DummyStandings!$B$5:$BD$48,COLUMN()+32,FALSE)</f>
        <v>3</v>
      </c>
      <c r="N28" s="21">
        <f>VLOOKUP(Standings!$B28,DummyStandings!$B$5:$BD$48,COLUMN()+32,FALSE)</f>
        <v>4</v>
      </c>
      <c r="O28" s="21">
        <f>VLOOKUP(Standings!$B28,DummyStandings!$B$5:$BD$48,COLUMN()+32,FALSE)</f>
        <v>99</v>
      </c>
      <c r="P28" s="21">
        <f>VLOOKUP(Standings!$B28,DummyStandings!$B$5:$BD$48,COLUMN()+32,FALSE)</f>
        <v>93</v>
      </c>
      <c r="Q28" s="22">
        <f>VLOOKUP(Standings!$B28,DummyStandings!$B$5:$BD$48,COLUMN()+32,FALSE)</f>
        <v>6</v>
      </c>
      <c r="R28" s="21">
        <f>VLOOKUP(Standings!$B28,DummyStandings!$B$5:$BD$48,COLUMN()+32,FALSE)</f>
        <v>7</v>
      </c>
      <c r="S28" s="21">
        <f>VLOOKUP(Standings!$B28,DummyStandings!$B$5:$BD$48,COLUMN()+32,FALSE)</f>
        <v>2</v>
      </c>
      <c r="T28" s="21">
        <f>VLOOKUP(Standings!$B28,DummyStandings!$B$5:$BD$48,COLUMN()+32,FALSE)</f>
        <v>5</v>
      </c>
      <c r="U28" s="21">
        <f>VLOOKUP(Standings!$B28,DummyStandings!$B$5:$BD$48,COLUMN()+32,FALSE)</f>
        <v>77</v>
      </c>
      <c r="V28" s="21">
        <f>VLOOKUP(Standings!$B28,DummyStandings!$B$5:$BD$48,COLUMN()+32,FALSE)</f>
        <v>138</v>
      </c>
      <c r="W28" s="22">
        <f>VLOOKUP(Standings!$B28,DummyStandings!$B$5:$BD$48,COLUMN()+32,FALSE)</f>
        <v>-61</v>
      </c>
    </row>
    <row r="29" spans="2:23" ht="11.25">
      <c r="B29" s="25">
        <v>26</v>
      </c>
      <c r="C29" s="128" t="str">
        <f>VLOOKUP(Standings!$B29,DummyStandings!$B$5:$BD$48,2,FALSE)</f>
        <v>Blue University</v>
      </c>
      <c r="D29" s="124">
        <f t="shared" si="0"/>
        <v>6</v>
      </c>
      <c r="E29" s="121" t="str">
        <f>VLOOKUP(Standings!$B29,DummyStandings!$B$5:$BD$48,3,FALSE)</f>
        <v>Mineral</v>
      </c>
      <c r="F29" s="6">
        <f>VLOOKUP(Standings!$B29,DummyStandings!$B$5:$BD$48,COLUMN()+32,FALSE)</f>
        <v>14</v>
      </c>
      <c r="G29" s="17">
        <f>VLOOKUP(Standings!$B29,DummyStandings!$B$5:$BD$48,COLUMN()+32,FALSE)</f>
        <v>5</v>
      </c>
      <c r="H29" s="17">
        <f>VLOOKUP(Standings!$B29,DummyStandings!$B$5:$BD$48,COLUMN()+32,FALSE)</f>
        <v>9</v>
      </c>
      <c r="I29" s="17">
        <f>VLOOKUP(Standings!$B29,DummyStandings!$B$5:$BD$48,COLUMN()+32,FALSE)</f>
        <v>204</v>
      </c>
      <c r="J29" s="17">
        <f>VLOOKUP(Standings!$B29,DummyStandings!$B$5:$BD$48,COLUMN()+32,FALSE)</f>
        <v>262</v>
      </c>
      <c r="K29" s="8">
        <f>VLOOKUP(Standings!$B29,DummyStandings!$B$5:$BD$48,COLUMN()+32,FALSE)</f>
        <v>-58</v>
      </c>
      <c r="L29" s="21">
        <f>VLOOKUP(Standings!$B29,DummyStandings!$B$5:$BD$48,COLUMN()+32,FALSE)</f>
        <v>7</v>
      </c>
      <c r="M29" s="21">
        <f>VLOOKUP(Standings!$B29,DummyStandings!$B$5:$BD$48,COLUMN()+32,FALSE)</f>
        <v>3</v>
      </c>
      <c r="N29" s="21">
        <f>VLOOKUP(Standings!$B29,DummyStandings!$B$5:$BD$48,COLUMN()+32,FALSE)</f>
        <v>4</v>
      </c>
      <c r="O29" s="21">
        <f>VLOOKUP(Standings!$B29,DummyStandings!$B$5:$BD$48,COLUMN()+32,FALSE)</f>
        <v>123</v>
      </c>
      <c r="P29" s="21">
        <f>VLOOKUP(Standings!$B29,DummyStandings!$B$5:$BD$48,COLUMN()+32,FALSE)</f>
        <v>122</v>
      </c>
      <c r="Q29" s="22">
        <f>VLOOKUP(Standings!$B29,DummyStandings!$B$5:$BD$48,COLUMN()+32,FALSE)</f>
        <v>1</v>
      </c>
      <c r="R29" s="21">
        <f>VLOOKUP(Standings!$B29,DummyStandings!$B$5:$BD$48,COLUMN()+32,FALSE)</f>
        <v>7</v>
      </c>
      <c r="S29" s="21">
        <f>VLOOKUP(Standings!$B29,DummyStandings!$B$5:$BD$48,COLUMN()+32,FALSE)</f>
        <v>2</v>
      </c>
      <c r="T29" s="21">
        <f>VLOOKUP(Standings!$B29,DummyStandings!$B$5:$BD$48,COLUMN()+32,FALSE)</f>
        <v>5</v>
      </c>
      <c r="U29" s="21">
        <f>VLOOKUP(Standings!$B29,DummyStandings!$B$5:$BD$48,COLUMN()+32,FALSE)</f>
        <v>81</v>
      </c>
      <c r="V29" s="21">
        <f>VLOOKUP(Standings!$B29,DummyStandings!$B$5:$BD$48,COLUMN()+32,FALSE)</f>
        <v>140</v>
      </c>
      <c r="W29" s="22">
        <f>VLOOKUP(Standings!$B29,DummyStandings!$B$5:$BD$48,COLUMN()+32,FALSE)</f>
        <v>-59</v>
      </c>
    </row>
    <row r="30" spans="2:23" ht="11.25">
      <c r="B30" s="25">
        <v>27</v>
      </c>
      <c r="C30" s="128" t="str">
        <f>VLOOKUP(Standings!$B30,DummyStandings!$B$5:$BD$48,2,FALSE)</f>
        <v>Harloop University</v>
      </c>
      <c r="D30" s="124">
        <f t="shared" si="0"/>
        <v>7</v>
      </c>
      <c r="E30" s="121" t="str">
        <f>VLOOKUP(Standings!$B30,DummyStandings!$B$5:$BD$48,3,FALSE)</f>
        <v>Mineral</v>
      </c>
      <c r="F30" s="6">
        <f>VLOOKUP(Standings!$B30,DummyStandings!$B$5:$BD$48,COLUMN()+32,FALSE)</f>
        <v>14</v>
      </c>
      <c r="G30" s="17">
        <f>VLOOKUP(Standings!$B30,DummyStandings!$B$5:$BD$48,COLUMN()+32,FALSE)</f>
        <v>5</v>
      </c>
      <c r="H30" s="17">
        <f>VLOOKUP(Standings!$B30,DummyStandings!$B$5:$BD$48,COLUMN()+32,FALSE)</f>
        <v>9</v>
      </c>
      <c r="I30" s="17">
        <f>VLOOKUP(Standings!$B30,DummyStandings!$B$5:$BD$48,COLUMN()+32,FALSE)</f>
        <v>157</v>
      </c>
      <c r="J30" s="17">
        <f>VLOOKUP(Standings!$B30,DummyStandings!$B$5:$BD$48,COLUMN()+32,FALSE)</f>
        <v>237</v>
      </c>
      <c r="K30" s="8">
        <f>VLOOKUP(Standings!$B30,DummyStandings!$B$5:$BD$48,COLUMN()+32,FALSE)</f>
        <v>-80</v>
      </c>
      <c r="L30" s="21">
        <f>VLOOKUP(Standings!$B30,DummyStandings!$B$5:$BD$48,COLUMN()+32,FALSE)</f>
        <v>7</v>
      </c>
      <c r="M30" s="21">
        <f>VLOOKUP(Standings!$B30,DummyStandings!$B$5:$BD$48,COLUMN()+32,FALSE)</f>
        <v>2</v>
      </c>
      <c r="N30" s="21">
        <f>VLOOKUP(Standings!$B30,DummyStandings!$B$5:$BD$48,COLUMN()+32,FALSE)</f>
        <v>5</v>
      </c>
      <c r="O30" s="21">
        <f>VLOOKUP(Standings!$B30,DummyStandings!$B$5:$BD$48,COLUMN()+32,FALSE)</f>
        <v>57</v>
      </c>
      <c r="P30" s="21">
        <f>VLOOKUP(Standings!$B30,DummyStandings!$B$5:$BD$48,COLUMN()+32,FALSE)</f>
        <v>96</v>
      </c>
      <c r="Q30" s="22">
        <f>VLOOKUP(Standings!$B30,DummyStandings!$B$5:$BD$48,COLUMN()+32,FALSE)</f>
        <v>-39</v>
      </c>
      <c r="R30" s="21">
        <f>VLOOKUP(Standings!$B30,DummyStandings!$B$5:$BD$48,COLUMN()+32,FALSE)</f>
        <v>7</v>
      </c>
      <c r="S30" s="21">
        <f>VLOOKUP(Standings!$B30,DummyStandings!$B$5:$BD$48,COLUMN()+32,FALSE)</f>
        <v>3</v>
      </c>
      <c r="T30" s="21">
        <f>VLOOKUP(Standings!$B30,DummyStandings!$B$5:$BD$48,COLUMN()+32,FALSE)</f>
        <v>4</v>
      </c>
      <c r="U30" s="21">
        <f>VLOOKUP(Standings!$B30,DummyStandings!$B$5:$BD$48,COLUMN()+32,FALSE)</f>
        <v>100</v>
      </c>
      <c r="V30" s="21">
        <f>VLOOKUP(Standings!$B30,DummyStandings!$B$5:$BD$48,COLUMN()+32,FALSE)</f>
        <v>141</v>
      </c>
      <c r="W30" s="22">
        <f>VLOOKUP(Standings!$B30,DummyStandings!$B$5:$BD$48,COLUMN()+32,FALSE)</f>
        <v>-41</v>
      </c>
    </row>
    <row r="31" spans="2:23" ht="11.25">
      <c r="B31" s="25">
        <v>28</v>
      </c>
      <c r="C31" s="128" t="str">
        <f>VLOOKUP(Standings!$B31,DummyStandings!$B$5:$BD$48,2,FALSE)</f>
        <v>University of Jagoza</v>
      </c>
      <c r="D31" s="124">
        <f aca="true" t="shared" si="1" ref="D31:D37">1+SUMPRODUCT(($E$4:$E$43=$E31)*($B$4:$B$43&lt;$B31))</f>
        <v>6</v>
      </c>
      <c r="E31" s="121" t="str">
        <f>VLOOKUP(Standings!$B31,DummyStandings!$B$5:$BD$48,3,FALSE)</f>
        <v>Woodlands</v>
      </c>
      <c r="F31" s="6">
        <f>VLOOKUP(Standings!$B31,DummyStandings!$B$5:$BD$48,COLUMN()+32,FALSE)</f>
        <v>14</v>
      </c>
      <c r="G31" s="17">
        <f>VLOOKUP(Standings!$B31,DummyStandings!$B$5:$BD$48,COLUMN()+32,FALSE)</f>
        <v>5</v>
      </c>
      <c r="H31" s="17">
        <f>VLOOKUP(Standings!$B31,DummyStandings!$B$5:$BD$48,COLUMN()+32,FALSE)</f>
        <v>9</v>
      </c>
      <c r="I31" s="17">
        <f>VLOOKUP(Standings!$B31,DummyStandings!$B$5:$BD$48,COLUMN()+32,FALSE)</f>
        <v>258</v>
      </c>
      <c r="J31" s="17">
        <f>VLOOKUP(Standings!$B31,DummyStandings!$B$5:$BD$48,COLUMN()+32,FALSE)</f>
        <v>271</v>
      </c>
      <c r="K31" s="8">
        <f>VLOOKUP(Standings!$B31,DummyStandings!$B$5:$BD$48,COLUMN()+32,FALSE)</f>
        <v>-13</v>
      </c>
      <c r="L31" s="21">
        <f>VLOOKUP(Standings!$B31,DummyStandings!$B$5:$BD$48,COLUMN()+32,FALSE)</f>
        <v>7</v>
      </c>
      <c r="M31" s="21">
        <f>VLOOKUP(Standings!$B31,DummyStandings!$B$5:$BD$48,COLUMN()+32,FALSE)</f>
        <v>2</v>
      </c>
      <c r="N31" s="21">
        <f>VLOOKUP(Standings!$B31,DummyStandings!$B$5:$BD$48,COLUMN()+32,FALSE)</f>
        <v>5</v>
      </c>
      <c r="O31" s="21">
        <f>VLOOKUP(Standings!$B31,DummyStandings!$B$5:$BD$48,COLUMN()+32,FALSE)</f>
        <v>134</v>
      </c>
      <c r="P31" s="21">
        <f>VLOOKUP(Standings!$B31,DummyStandings!$B$5:$BD$48,COLUMN()+32,FALSE)</f>
        <v>114</v>
      </c>
      <c r="Q31" s="22">
        <f>VLOOKUP(Standings!$B31,DummyStandings!$B$5:$BD$48,COLUMN()+32,FALSE)</f>
        <v>20</v>
      </c>
      <c r="R31" s="21">
        <f>VLOOKUP(Standings!$B31,DummyStandings!$B$5:$BD$48,COLUMN()+32,FALSE)</f>
        <v>7</v>
      </c>
      <c r="S31" s="21">
        <f>VLOOKUP(Standings!$B31,DummyStandings!$B$5:$BD$48,COLUMN()+32,FALSE)</f>
        <v>3</v>
      </c>
      <c r="T31" s="21">
        <f>VLOOKUP(Standings!$B31,DummyStandings!$B$5:$BD$48,COLUMN()+32,FALSE)</f>
        <v>4</v>
      </c>
      <c r="U31" s="21">
        <f>VLOOKUP(Standings!$B31,DummyStandings!$B$5:$BD$48,COLUMN()+32,FALSE)</f>
        <v>124</v>
      </c>
      <c r="V31" s="21">
        <f>VLOOKUP(Standings!$B31,DummyStandings!$B$5:$BD$48,COLUMN()+32,FALSE)</f>
        <v>157</v>
      </c>
      <c r="W31" s="22">
        <f>VLOOKUP(Standings!$B31,DummyStandings!$B$5:$BD$48,COLUMN()+32,FALSE)</f>
        <v>-33</v>
      </c>
    </row>
    <row r="32" spans="2:23" ht="11.25">
      <c r="B32" s="25">
        <v>29</v>
      </c>
      <c r="C32" s="128" t="str">
        <f>VLOOKUP(Standings!$B32,DummyStandings!$B$5:$BD$48,2,FALSE)</f>
        <v>Wijlik Aviation Academy</v>
      </c>
      <c r="D32" s="124">
        <f t="shared" si="1"/>
        <v>6</v>
      </c>
      <c r="E32" s="121" t="str">
        <f>VLOOKUP(Standings!$B32,DummyStandings!$B$5:$BD$48,3,FALSE)</f>
        <v>Big Eight</v>
      </c>
      <c r="F32" s="6">
        <f>VLOOKUP(Standings!$B32,DummyStandings!$B$5:$BD$48,COLUMN()+32,FALSE)</f>
        <v>14</v>
      </c>
      <c r="G32" s="17">
        <f>VLOOKUP(Standings!$B32,DummyStandings!$B$5:$BD$48,COLUMN()+32,FALSE)</f>
        <v>5</v>
      </c>
      <c r="H32" s="17">
        <f>VLOOKUP(Standings!$B32,DummyStandings!$B$5:$BD$48,COLUMN()+32,FALSE)</f>
        <v>9</v>
      </c>
      <c r="I32" s="17">
        <f>VLOOKUP(Standings!$B32,DummyStandings!$B$5:$BD$48,COLUMN()+32,FALSE)</f>
        <v>191</v>
      </c>
      <c r="J32" s="17">
        <f>VLOOKUP(Standings!$B32,DummyStandings!$B$5:$BD$48,COLUMN()+32,FALSE)</f>
        <v>242</v>
      </c>
      <c r="K32" s="8">
        <f>VLOOKUP(Standings!$B32,DummyStandings!$B$5:$BD$48,COLUMN()+32,FALSE)</f>
        <v>-51</v>
      </c>
      <c r="L32" s="21">
        <f>VLOOKUP(Standings!$B32,DummyStandings!$B$5:$BD$48,COLUMN()+32,FALSE)</f>
        <v>7</v>
      </c>
      <c r="M32" s="21">
        <f>VLOOKUP(Standings!$B32,DummyStandings!$B$5:$BD$48,COLUMN()+32,FALSE)</f>
        <v>3</v>
      </c>
      <c r="N32" s="21">
        <f>VLOOKUP(Standings!$B32,DummyStandings!$B$5:$BD$48,COLUMN()+32,FALSE)</f>
        <v>4</v>
      </c>
      <c r="O32" s="21">
        <f>VLOOKUP(Standings!$B32,DummyStandings!$B$5:$BD$48,COLUMN()+32,FALSE)</f>
        <v>112</v>
      </c>
      <c r="P32" s="21">
        <f>VLOOKUP(Standings!$B32,DummyStandings!$B$5:$BD$48,COLUMN()+32,FALSE)</f>
        <v>82</v>
      </c>
      <c r="Q32" s="22">
        <f>VLOOKUP(Standings!$B32,DummyStandings!$B$5:$BD$48,COLUMN()+32,FALSE)</f>
        <v>30</v>
      </c>
      <c r="R32" s="21">
        <f>VLOOKUP(Standings!$B32,DummyStandings!$B$5:$BD$48,COLUMN()+32,FALSE)</f>
        <v>7</v>
      </c>
      <c r="S32" s="21">
        <f>VLOOKUP(Standings!$B32,DummyStandings!$B$5:$BD$48,COLUMN()+32,FALSE)</f>
        <v>2</v>
      </c>
      <c r="T32" s="21">
        <f>VLOOKUP(Standings!$B32,DummyStandings!$B$5:$BD$48,COLUMN()+32,FALSE)</f>
        <v>5</v>
      </c>
      <c r="U32" s="21">
        <f>VLOOKUP(Standings!$B32,DummyStandings!$B$5:$BD$48,COLUMN()+32,FALSE)</f>
        <v>79</v>
      </c>
      <c r="V32" s="21">
        <f>VLOOKUP(Standings!$B32,DummyStandings!$B$5:$BD$48,COLUMN()+32,FALSE)</f>
        <v>160</v>
      </c>
      <c r="W32" s="22">
        <f>VLOOKUP(Standings!$B32,DummyStandings!$B$5:$BD$48,COLUMN()+32,FALSE)</f>
        <v>-81</v>
      </c>
    </row>
    <row r="33" spans="2:23" ht="11.25">
      <c r="B33" s="25">
        <v>30</v>
      </c>
      <c r="C33" s="128" t="str">
        <f>VLOOKUP(Standings!$B33,DummyStandings!$B$5:$BD$48,2,FALSE)</f>
        <v>University of Weinersnitzel</v>
      </c>
      <c r="D33" s="124">
        <f t="shared" si="1"/>
        <v>6</v>
      </c>
      <c r="E33" s="121" t="str">
        <f>VLOOKUP(Standings!$B33,DummyStandings!$B$5:$BD$48,3,FALSE)</f>
        <v>Horizon</v>
      </c>
      <c r="F33" s="6">
        <f>VLOOKUP(Standings!$B33,DummyStandings!$B$5:$BD$48,COLUMN()+32,FALSE)</f>
        <v>14</v>
      </c>
      <c r="G33" s="17">
        <f>VLOOKUP(Standings!$B33,DummyStandings!$B$5:$BD$48,COLUMN()+32,FALSE)</f>
        <v>4</v>
      </c>
      <c r="H33" s="17">
        <f>VLOOKUP(Standings!$B33,DummyStandings!$B$5:$BD$48,COLUMN()+32,FALSE)</f>
        <v>10</v>
      </c>
      <c r="I33" s="17">
        <f>VLOOKUP(Standings!$B33,DummyStandings!$B$5:$BD$48,COLUMN()+32,FALSE)</f>
        <v>172</v>
      </c>
      <c r="J33" s="17">
        <f>VLOOKUP(Standings!$B33,DummyStandings!$B$5:$BD$48,COLUMN()+32,FALSE)</f>
        <v>248</v>
      </c>
      <c r="K33" s="8">
        <f>VLOOKUP(Standings!$B33,DummyStandings!$B$5:$BD$48,COLUMN()+32,FALSE)</f>
        <v>-76</v>
      </c>
      <c r="L33" s="21">
        <f>VLOOKUP(Standings!$B33,DummyStandings!$B$5:$BD$48,COLUMN()+32,FALSE)</f>
        <v>7</v>
      </c>
      <c r="M33" s="21">
        <f>VLOOKUP(Standings!$B33,DummyStandings!$B$5:$BD$48,COLUMN()+32,FALSE)</f>
        <v>3</v>
      </c>
      <c r="N33" s="21">
        <f>VLOOKUP(Standings!$B33,DummyStandings!$B$5:$BD$48,COLUMN()+32,FALSE)</f>
        <v>4</v>
      </c>
      <c r="O33" s="21">
        <f>VLOOKUP(Standings!$B33,DummyStandings!$B$5:$BD$48,COLUMN()+32,FALSE)</f>
        <v>89</v>
      </c>
      <c r="P33" s="21">
        <f>VLOOKUP(Standings!$B33,DummyStandings!$B$5:$BD$48,COLUMN()+32,FALSE)</f>
        <v>123</v>
      </c>
      <c r="Q33" s="22">
        <f>VLOOKUP(Standings!$B33,DummyStandings!$B$5:$BD$48,COLUMN()+32,FALSE)</f>
        <v>-34</v>
      </c>
      <c r="R33" s="21">
        <f>VLOOKUP(Standings!$B33,DummyStandings!$B$5:$BD$48,COLUMN()+32,FALSE)</f>
        <v>7</v>
      </c>
      <c r="S33" s="21">
        <f>VLOOKUP(Standings!$B33,DummyStandings!$B$5:$BD$48,COLUMN()+32,FALSE)</f>
        <v>1</v>
      </c>
      <c r="T33" s="21">
        <f>VLOOKUP(Standings!$B33,DummyStandings!$B$5:$BD$48,COLUMN()+32,FALSE)</f>
        <v>6</v>
      </c>
      <c r="U33" s="21">
        <f>VLOOKUP(Standings!$B33,DummyStandings!$B$5:$BD$48,COLUMN()+32,FALSE)</f>
        <v>83</v>
      </c>
      <c r="V33" s="21">
        <f>VLOOKUP(Standings!$B33,DummyStandings!$B$5:$BD$48,COLUMN()+32,FALSE)</f>
        <v>125</v>
      </c>
      <c r="W33" s="22">
        <f>VLOOKUP(Standings!$B33,DummyStandings!$B$5:$BD$48,COLUMN()+32,FALSE)</f>
        <v>-42</v>
      </c>
    </row>
    <row r="34" spans="2:23" ht="11.25">
      <c r="B34" s="25">
        <v>31</v>
      </c>
      <c r="C34" s="128" t="str">
        <f>VLOOKUP(Standings!$B34,DummyStandings!$B$5:$BD$48,2,FALSE)</f>
        <v>Stoneshore College</v>
      </c>
      <c r="D34" s="124">
        <f t="shared" si="1"/>
        <v>7</v>
      </c>
      <c r="E34" s="121" t="str">
        <f>VLOOKUP(Standings!$B34,DummyStandings!$B$5:$BD$48,3,FALSE)</f>
        <v>Horizon</v>
      </c>
      <c r="F34" s="6">
        <f>VLOOKUP(Standings!$B34,DummyStandings!$B$5:$BD$48,COLUMN()+32,FALSE)</f>
        <v>14</v>
      </c>
      <c r="G34" s="17">
        <f>VLOOKUP(Standings!$B34,DummyStandings!$B$5:$BD$48,COLUMN()+32,FALSE)</f>
        <v>4</v>
      </c>
      <c r="H34" s="17">
        <f>VLOOKUP(Standings!$B34,DummyStandings!$B$5:$BD$48,COLUMN()+32,FALSE)</f>
        <v>10</v>
      </c>
      <c r="I34" s="17">
        <f>VLOOKUP(Standings!$B34,DummyStandings!$B$5:$BD$48,COLUMN()+32,FALSE)</f>
        <v>125</v>
      </c>
      <c r="J34" s="17">
        <f>VLOOKUP(Standings!$B34,DummyStandings!$B$5:$BD$48,COLUMN()+32,FALSE)</f>
        <v>247</v>
      </c>
      <c r="K34" s="8">
        <f>VLOOKUP(Standings!$B34,DummyStandings!$B$5:$BD$48,COLUMN()+32,FALSE)</f>
        <v>-122</v>
      </c>
      <c r="L34" s="21">
        <f>VLOOKUP(Standings!$B34,DummyStandings!$B$5:$BD$48,COLUMN()+32,FALSE)</f>
        <v>7</v>
      </c>
      <c r="M34" s="21">
        <f>VLOOKUP(Standings!$B34,DummyStandings!$B$5:$BD$48,COLUMN()+32,FALSE)</f>
        <v>3</v>
      </c>
      <c r="N34" s="21">
        <f>VLOOKUP(Standings!$B34,DummyStandings!$B$5:$BD$48,COLUMN()+32,FALSE)</f>
        <v>4</v>
      </c>
      <c r="O34" s="21">
        <f>VLOOKUP(Standings!$B34,DummyStandings!$B$5:$BD$48,COLUMN()+32,FALSE)</f>
        <v>85</v>
      </c>
      <c r="P34" s="21">
        <f>VLOOKUP(Standings!$B34,DummyStandings!$B$5:$BD$48,COLUMN()+32,FALSE)</f>
        <v>112</v>
      </c>
      <c r="Q34" s="22">
        <f>VLOOKUP(Standings!$B34,DummyStandings!$B$5:$BD$48,COLUMN()+32,FALSE)</f>
        <v>-27</v>
      </c>
      <c r="R34" s="21">
        <f>VLOOKUP(Standings!$B34,DummyStandings!$B$5:$BD$48,COLUMN()+32,FALSE)</f>
        <v>7</v>
      </c>
      <c r="S34" s="21">
        <f>VLOOKUP(Standings!$B34,DummyStandings!$B$5:$BD$48,COLUMN()+32,FALSE)</f>
        <v>1</v>
      </c>
      <c r="T34" s="21">
        <f>VLOOKUP(Standings!$B34,DummyStandings!$B$5:$BD$48,COLUMN()+32,FALSE)</f>
        <v>6</v>
      </c>
      <c r="U34" s="21">
        <f>VLOOKUP(Standings!$B34,DummyStandings!$B$5:$BD$48,COLUMN()+32,FALSE)</f>
        <v>40</v>
      </c>
      <c r="V34" s="21">
        <f>VLOOKUP(Standings!$B34,DummyStandings!$B$5:$BD$48,COLUMN()+32,FALSE)</f>
        <v>135</v>
      </c>
      <c r="W34" s="22">
        <f>VLOOKUP(Standings!$B34,DummyStandings!$B$5:$BD$48,COLUMN()+32,FALSE)</f>
        <v>-95</v>
      </c>
    </row>
    <row r="35" spans="2:23" ht="11.25">
      <c r="B35" s="25">
        <v>32</v>
      </c>
      <c r="C35" s="128" t="str">
        <f>VLOOKUP(Standings!$B35,DummyStandings!$B$5:$BD$48,2,FALSE)</f>
        <v>Northern Dinagat State University</v>
      </c>
      <c r="D35" s="124">
        <f t="shared" si="1"/>
        <v>6</v>
      </c>
      <c r="E35" s="121" t="str">
        <f>VLOOKUP(Standings!$B35,DummyStandings!$B$5:$BD$48,3,FALSE)</f>
        <v>Sequoia</v>
      </c>
      <c r="F35" s="6">
        <f>VLOOKUP(Standings!$B35,DummyStandings!$B$5:$BD$48,COLUMN()+32,FALSE)</f>
        <v>14</v>
      </c>
      <c r="G35" s="17">
        <f>VLOOKUP(Standings!$B35,DummyStandings!$B$5:$BD$48,COLUMN()+32,FALSE)</f>
        <v>3</v>
      </c>
      <c r="H35" s="17">
        <f>VLOOKUP(Standings!$B35,DummyStandings!$B$5:$BD$48,COLUMN()+32,FALSE)</f>
        <v>11</v>
      </c>
      <c r="I35" s="17">
        <f>VLOOKUP(Standings!$B35,DummyStandings!$B$5:$BD$48,COLUMN()+32,FALSE)</f>
        <v>108</v>
      </c>
      <c r="J35" s="17">
        <f>VLOOKUP(Standings!$B35,DummyStandings!$B$5:$BD$48,COLUMN()+32,FALSE)</f>
        <v>266</v>
      </c>
      <c r="K35" s="8">
        <f>VLOOKUP(Standings!$B35,DummyStandings!$B$5:$BD$48,COLUMN()+32,FALSE)</f>
        <v>-158</v>
      </c>
      <c r="L35" s="21">
        <f>VLOOKUP(Standings!$B35,DummyStandings!$B$5:$BD$48,COLUMN()+32,FALSE)</f>
        <v>7</v>
      </c>
      <c r="M35" s="21">
        <f>VLOOKUP(Standings!$B35,DummyStandings!$B$5:$BD$48,COLUMN()+32,FALSE)</f>
        <v>1</v>
      </c>
      <c r="N35" s="21">
        <f>VLOOKUP(Standings!$B35,DummyStandings!$B$5:$BD$48,COLUMN()+32,FALSE)</f>
        <v>6</v>
      </c>
      <c r="O35" s="21">
        <f>VLOOKUP(Standings!$B35,DummyStandings!$B$5:$BD$48,COLUMN()+32,FALSE)</f>
        <v>29</v>
      </c>
      <c r="P35" s="21">
        <f>VLOOKUP(Standings!$B35,DummyStandings!$B$5:$BD$48,COLUMN()+32,FALSE)</f>
        <v>133</v>
      </c>
      <c r="Q35" s="22">
        <f>VLOOKUP(Standings!$B35,DummyStandings!$B$5:$BD$48,COLUMN()+32,FALSE)</f>
        <v>-104</v>
      </c>
      <c r="R35" s="21">
        <f>VLOOKUP(Standings!$B35,DummyStandings!$B$5:$BD$48,COLUMN()+32,FALSE)</f>
        <v>7</v>
      </c>
      <c r="S35" s="21">
        <f>VLOOKUP(Standings!$B35,DummyStandings!$B$5:$BD$48,COLUMN()+32,FALSE)</f>
        <v>2</v>
      </c>
      <c r="T35" s="21">
        <f>VLOOKUP(Standings!$B35,DummyStandings!$B$5:$BD$48,COLUMN()+32,FALSE)</f>
        <v>5</v>
      </c>
      <c r="U35" s="21">
        <f>VLOOKUP(Standings!$B35,DummyStandings!$B$5:$BD$48,COLUMN()+32,FALSE)</f>
        <v>79</v>
      </c>
      <c r="V35" s="21">
        <f>VLOOKUP(Standings!$B35,DummyStandings!$B$5:$BD$48,COLUMN()+32,FALSE)</f>
        <v>133</v>
      </c>
      <c r="W35" s="22">
        <f>VLOOKUP(Standings!$B35,DummyStandings!$B$5:$BD$48,COLUMN()+32,FALSE)</f>
        <v>-54</v>
      </c>
    </row>
    <row r="36" spans="2:23" ht="11.25">
      <c r="B36" s="25">
        <v>33</v>
      </c>
      <c r="C36" s="128" t="str">
        <f>VLOOKUP(Standings!$B36,DummyStandings!$B$5:$BD$48,2,FALSE)</f>
        <v>University of Richardsburg</v>
      </c>
      <c r="D36" s="124">
        <f t="shared" si="1"/>
        <v>8</v>
      </c>
      <c r="E36" s="121" t="str">
        <f>VLOOKUP(Standings!$B36,DummyStandings!$B$5:$BD$48,3,FALSE)</f>
        <v>Mineral</v>
      </c>
      <c r="F36" s="6">
        <f>VLOOKUP(Standings!$B36,DummyStandings!$B$5:$BD$48,COLUMN()+32,FALSE)</f>
        <v>14</v>
      </c>
      <c r="G36" s="17">
        <f>VLOOKUP(Standings!$B36,DummyStandings!$B$5:$BD$48,COLUMN()+32,FALSE)</f>
        <v>3</v>
      </c>
      <c r="H36" s="17">
        <f>VLOOKUP(Standings!$B36,DummyStandings!$B$5:$BD$48,COLUMN()+32,FALSE)</f>
        <v>11</v>
      </c>
      <c r="I36" s="17">
        <f>VLOOKUP(Standings!$B36,DummyStandings!$B$5:$BD$48,COLUMN()+32,FALSE)</f>
        <v>171</v>
      </c>
      <c r="J36" s="17">
        <f>VLOOKUP(Standings!$B36,DummyStandings!$B$5:$BD$48,COLUMN()+32,FALSE)</f>
        <v>293</v>
      </c>
      <c r="K36" s="8">
        <f>VLOOKUP(Standings!$B36,DummyStandings!$B$5:$BD$48,COLUMN()+32,FALSE)</f>
        <v>-122</v>
      </c>
      <c r="L36" s="21">
        <f>VLOOKUP(Standings!$B36,DummyStandings!$B$5:$BD$48,COLUMN()+32,FALSE)</f>
        <v>7</v>
      </c>
      <c r="M36" s="21">
        <f>VLOOKUP(Standings!$B36,DummyStandings!$B$5:$BD$48,COLUMN()+32,FALSE)</f>
        <v>2</v>
      </c>
      <c r="N36" s="21">
        <f>VLOOKUP(Standings!$B36,DummyStandings!$B$5:$BD$48,COLUMN()+32,FALSE)</f>
        <v>5</v>
      </c>
      <c r="O36" s="21">
        <f>VLOOKUP(Standings!$B36,DummyStandings!$B$5:$BD$48,COLUMN()+32,FALSE)</f>
        <v>98</v>
      </c>
      <c r="P36" s="21">
        <f>VLOOKUP(Standings!$B36,DummyStandings!$B$5:$BD$48,COLUMN()+32,FALSE)</f>
        <v>156</v>
      </c>
      <c r="Q36" s="22">
        <f>VLOOKUP(Standings!$B36,DummyStandings!$B$5:$BD$48,COLUMN()+32,FALSE)</f>
        <v>-58</v>
      </c>
      <c r="R36" s="21">
        <f>VLOOKUP(Standings!$B36,DummyStandings!$B$5:$BD$48,COLUMN()+32,FALSE)</f>
        <v>7</v>
      </c>
      <c r="S36" s="21">
        <f>VLOOKUP(Standings!$B36,DummyStandings!$B$5:$BD$48,COLUMN()+32,FALSE)</f>
        <v>1</v>
      </c>
      <c r="T36" s="21">
        <f>VLOOKUP(Standings!$B36,DummyStandings!$B$5:$BD$48,COLUMN()+32,FALSE)</f>
        <v>6</v>
      </c>
      <c r="U36" s="21">
        <f>VLOOKUP(Standings!$B36,DummyStandings!$B$5:$BD$48,COLUMN()+32,FALSE)</f>
        <v>73</v>
      </c>
      <c r="V36" s="21">
        <f>VLOOKUP(Standings!$B36,DummyStandings!$B$5:$BD$48,COLUMN()+32,FALSE)</f>
        <v>137</v>
      </c>
      <c r="W36" s="22">
        <f>VLOOKUP(Standings!$B36,DummyStandings!$B$5:$BD$48,COLUMN()+32,FALSE)</f>
        <v>-64</v>
      </c>
    </row>
    <row r="37" spans="2:23" ht="11.25">
      <c r="B37" s="25">
        <v>34</v>
      </c>
      <c r="C37" s="128" t="str">
        <f>VLOOKUP(Standings!$B37,DummyStandings!$B$5:$BD$48,2,FALSE)</f>
        <v>University of Olympia</v>
      </c>
      <c r="D37" s="124">
        <f t="shared" si="1"/>
        <v>8</v>
      </c>
      <c r="E37" s="121" t="str">
        <f>VLOOKUP(Standings!$B37,DummyStandings!$B$5:$BD$48,3,FALSE)</f>
        <v>Horizon</v>
      </c>
      <c r="F37" s="6">
        <f>VLOOKUP(Standings!$B37,DummyStandings!$B$5:$BD$48,COLUMN()+32,FALSE)</f>
        <v>14</v>
      </c>
      <c r="G37" s="17">
        <f>VLOOKUP(Standings!$B37,DummyStandings!$B$5:$BD$48,COLUMN()+32,FALSE)</f>
        <v>3</v>
      </c>
      <c r="H37" s="17">
        <f>VLOOKUP(Standings!$B37,DummyStandings!$B$5:$BD$48,COLUMN()+32,FALSE)</f>
        <v>11</v>
      </c>
      <c r="I37" s="17">
        <f>VLOOKUP(Standings!$B37,DummyStandings!$B$5:$BD$48,COLUMN()+32,FALSE)</f>
        <v>145</v>
      </c>
      <c r="J37" s="17">
        <f>VLOOKUP(Standings!$B37,DummyStandings!$B$5:$BD$48,COLUMN()+32,FALSE)</f>
        <v>269</v>
      </c>
      <c r="K37" s="8">
        <f>VLOOKUP(Standings!$B37,DummyStandings!$B$5:$BD$48,COLUMN()+32,FALSE)</f>
        <v>-124</v>
      </c>
      <c r="L37" s="21">
        <f>VLOOKUP(Standings!$B37,DummyStandings!$B$5:$BD$48,COLUMN()+32,FALSE)</f>
        <v>7</v>
      </c>
      <c r="M37" s="21">
        <f>VLOOKUP(Standings!$B37,DummyStandings!$B$5:$BD$48,COLUMN()+32,FALSE)</f>
        <v>3</v>
      </c>
      <c r="N37" s="21">
        <f>VLOOKUP(Standings!$B37,DummyStandings!$B$5:$BD$48,COLUMN()+32,FALSE)</f>
        <v>4</v>
      </c>
      <c r="O37" s="21">
        <f>VLOOKUP(Standings!$B37,DummyStandings!$B$5:$BD$48,COLUMN()+32,FALSE)</f>
        <v>80</v>
      </c>
      <c r="P37" s="21">
        <f>VLOOKUP(Standings!$B37,DummyStandings!$B$5:$BD$48,COLUMN()+32,FALSE)</f>
        <v>108</v>
      </c>
      <c r="Q37" s="22">
        <f>VLOOKUP(Standings!$B37,DummyStandings!$B$5:$BD$48,COLUMN()+32,FALSE)</f>
        <v>-28</v>
      </c>
      <c r="R37" s="21">
        <f>VLOOKUP(Standings!$B37,DummyStandings!$B$5:$BD$48,COLUMN()+32,FALSE)</f>
        <v>7</v>
      </c>
      <c r="S37" s="21">
        <f>VLOOKUP(Standings!$B37,DummyStandings!$B$5:$BD$48,COLUMN()+32,FALSE)</f>
        <v>0</v>
      </c>
      <c r="T37" s="21">
        <f>VLOOKUP(Standings!$B37,DummyStandings!$B$5:$BD$48,COLUMN()+32,FALSE)</f>
        <v>7</v>
      </c>
      <c r="U37" s="21">
        <f>VLOOKUP(Standings!$B37,DummyStandings!$B$5:$BD$48,COLUMN()+32,FALSE)</f>
        <v>65</v>
      </c>
      <c r="V37" s="21">
        <f>VLOOKUP(Standings!$B37,DummyStandings!$B$5:$BD$48,COLUMN()+32,FALSE)</f>
        <v>161</v>
      </c>
      <c r="W37" s="22">
        <f>VLOOKUP(Standings!$B37,DummyStandings!$B$5:$BD$48,COLUMN()+32,FALSE)</f>
        <v>-96</v>
      </c>
    </row>
    <row r="38" spans="2:23" ht="11.25">
      <c r="B38" s="25">
        <v>35</v>
      </c>
      <c r="C38" s="128" t="str">
        <f>VLOOKUP(Standings!$B38,DummyStandings!$B$5:$BD$48,2,FALSE)</f>
        <v>Walterton University</v>
      </c>
      <c r="D38" s="124">
        <f aca="true" t="shared" si="2" ref="D38:D43">1+SUMPRODUCT(($E$4:$E$43=$E38)*($B$4:$B$43&lt;$B38))</f>
        <v>7</v>
      </c>
      <c r="E38" s="121" t="str">
        <f>VLOOKUP(Standings!$B38,DummyStandings!$B$5:$BD$48,3,FALSE)</f>
        <v>Woodlands</v>
      </c>
      <c r="F38" s="6">
        <f>VLOOKUP(Standings!$B38,DummyStandings!$B$5:$BD$48,COLUMN()+32,FALSE)</f>
        <v>14</v>
      </c>
      <c r="G38" s="17">
        <f>VLOOKUP(Standings!$B38,DummyStandings!$B$5:$BD$48,COLUMN()+32,FALSE)</f>
        <v>3</v>
      </c>
      <c r="H38" s="17">
        <f>VLOOKUP(Standings!$B38,DummyStandings!$B$5:$BD$48,COLUMN()+32,FALSE)</f>
        <v>11</v>
      </c>
      <c r="I38" s="17">
        <f>VLOOKUP(Standings!$B38,DummyStandings!$B$5:$BD$48,COLUMN()+32,FALSE)</f>
        <v>174</v>
      </c>
      <c r="J38" s="17">
        <f>VLOOKUP(Standings!$B38,DummyStandings!$B$5:$BD$48,COLUMN()+32,FALSE)</f>
        <v>333</v>
      </c>
      <c r="K38" s="8">
        <f>VLOOKUP(Standings!$B38,DummyStandings!$B$5:$BD$48,COLUMN()+32,FALSE)</f>
        <v>-159</v>
      </c>
      <c r="L38" s="21">
        <f>VLOOKUP(Standings!$B38,DummyStandings!$B$5:$BD$48,COLUMN()+32,FALSE)</f>
        <v>7</v>
      </c>
      <c r="M38" s="21">
        <f>VLOOKUP(Standings!$B38,DummyStandings!$B$5:$BD$48,COLUMN()+32,FALSE)</f>
        <v>1</v>
      </c>
      <c r="N38" s="21">
        <f>VLOOKUP(Standings!$B38,DummyStandings!$B$5:$BD$48,COLUMN()+32,FALSE)</f>
        <v>6</v>
      </c>
      <c r="O38" s="21">
        <f>VLOOKUP(Standings!$B38,DummyStandings!$B$5:$BD$48,COLUMN()+32,FALSE)</f>
        <v>79</v>
      </c>
      <c r="P38" s="21">
        <f>VLOOKUP(Standings!$B38,DummyStandings!$B$5:$BD$48,COLUMN()+32,FALSE)</f>
        <v>168</v>
      </c>
      <c r="Q38" s="22">
        <f>VLOOKUP(Standings!$B38,DummyStandings!$B$5:$BD$48,COLUMN()+32,FALSE)</f>
        <v>-89</v>
      </c>
      <c r="R38" s="21">
        <f>VLOOKUP(Standings!$B38,DummyStandings!$B$5:$BD$48,COLUMN()+32,FALSE)</f>
        <v>7</v>
      </c>
      <c r="S38" s="21">
        <f>VLOOKUP(Standings!$B38,DummyStandings!$B$5:$BD$48,COLUMN()+32,FALSE)</f>
        <v>2</v>
      </c>
      <c r="T38" s="21">
        <f>VLOOKUP(Standings!$B38,DummyStandings!$B$5:$BD$48,COLUMN()+32,FALSE)</f>
        <v>5</v>
      </c>
      <c r="U38" s="21">
        <f>VLOOKUP(Standings!$B38,DummyStandings!$B$5:$BD$48,COLUMN()+32,FALSE)</f>
        <v>95</v>
      </c>
      <c r="V38" s="21">
        <f>VLOOKUP(Standings!$B38,DummyStandings!$B$5:$BD$48,COLUMN()+32,FALSE)</f>
        <v>165</v>
      </c>
      <c r="W38" s="22">
        <f>VLOOKUP(Standings!$B38,DummyStandings!$B$5:$BD$48,COLUMN()+32,FALSE)</f>
        <v>-70</v>
      </c>
    </row>
    <row r="39" spans="2:23" ht="11.25">
      <c r="B39" s="25">
        <v>36</v>
      </c>
      <c r="C39" s="128" t="str">
        <f>VLOOKUP(Standings!$B39,DummyStandings!$B$5:$BD$48,2,FALSE)</f>
        <v>University of Nobelius</v>
      </c>
      <c r="D39" s="124">
        <f t="shared" si="2"/>
        <v>7</v>
      </c>
      <c r="E39" s="121" t="str">
        <f>VLOOKUP(Standings!$B39,DummyStandings!$B$5:$BD$48,3,FALSE)</f>
        <v>Big Eight</v>
      </c>
      <c r="F39" s="6">
        <f>VLOOKUP(Standings!$B39,DummyStandings!$B$5:$BD$48,COLUMN()+32,FALSE)</f>
        <v>14</v>
      </c>
      <c r="G39" s="17">
        <f>VLOOKUP(Standings!$B39,DummyStandings!$B$5:$BD$48,COLUMN()+32,FALSE)</f>
        <v>3</v>
      </c>
      <c r="H39" s="17">
        <f>VLOOKUP(Standings!$B39,DummyStandings!$B$5:$BD$48,COLUMN()+32,FALSE)</f>
        <v>11</v>
      </c>
      <c r="I39" s="17">
        <f>VLOOKUP(Standings!$B39,DummyStandings!$B$5:$BD$48,COLUMN()+32,FALSE)</f>
        <v>141</v>
      </c>
      <c r="J39" s="17">
        <f>VLOOKUP(Standings!$B39,DummyStandings!$B$5:$BD$48,COLUMN()+32,FALSE)</f>
        <v>311</v>
      </c>
      <c r="K39" s="8">
        <f>VLOOKUP(Standings!$B39,DummyStandings!$B$5:$BD$48,COLUMN()+32,FALSE)</f>
        <v>-170</v>
      </c>
      <c r="L39" s="21">
        <f>VLOOKUP(Standings!$B39,DummyStandings!$B$5:$BD$48,COLUMN()+32,FALSE)</f>
        <v>7</v>
      </c>
      <c r="M39" s="21">
        <f>VLOOKUP(Standings!$B39,DummyStandings!$B$5:$BD$48,COLUMN()+32,FALSE)</f>
        <v>2</v>
      </c>
      <c r="N39" s="21">
        <f>VLOOKUP(Standings!$B39,DummyStandings!$B$5:$BD$48,COLUMN()+32,FALSE)</f>
        <v>5</v>
      </c>
      <c r="O39" s="21">
        <f>VLOOKUP(Standings!$B39,DummyStandings!$B$5:$BD$48,COLUMN()+32,FALSE)</f>
        <v>79</v>
      </c>
      <c r="P39" s="21">
        <f>VLOOKUP(Standings!$B39,DummyStandings!$B$5:$BD$48,COLUMN()+32,FALSE)</f>
        <v>165</v>
      </c>
      <c r="Q39" s="22">
        <f>VLOOKUP(Standings!$B39,DummyStandings!$B$5:$BD$48,COLUMN()+32,FALSE)</f>
        <v>-86</v>
      </c>
      <c r="R39" s="21">
        <f>VLOOKUP(Standings!$B39,DummyStandings!$B$5:$BD$48,COLUMN()+32,FALSE)</f>
        <v>7</v>
      </c>
      <c r="S39" s="21">
        <f>VLOOKUP(Standings!$B39,DummyStandings!$B$5:$BD$48,COLUMN()+32,FALSE)</f>
        <v>1</v>
      </c>
      <c r="T39" s="21">
        <f>VLOOKUP(Standings!$B39,DummyStandings!$B$5:$BD$48,COLUMN()+32,FALSE)</f>
        <v>6</v>
      </c>
      <c r="U39" s="21">
        <f>VLOOKUP(Standings!$B39,DummyStandings!$B$5:$BD$48,COLUMN()+32,FALSE)</f>
        <v>62</v>
      </c>
      <c r="V39" s="21">
        <f>VLOOKUP(Standings!$B39,DummyStandings!$B$5:$BD$48,COLUMN()+32,FALSE)</f>
        <v>146</v>
      </c>
      <c r="W39" s="22">
        <f>VLOOKUP(Standings!$B39,DummyStandings!$B$5:$BD$48,COLUMN()+32,FALSE)</f>
        <v>-84</v>
      </c>
    </row>
    <row r="40" spans="2:23" ht="11.25">
      <c r="B40" s="25">
        <v>37</v>
      </c>
      <c r="C40" s="128" t="str">
        <f>VLOOKUP(Standings!$B40,DummyStandings!$B$5:$BD$48,2,FALSE)</f>
        <v>Netteingen Tech</v>
      </c>
      <c r="D40" s="124">
        <f t="shared" si="2"/>
        <v>7</v>
      </c>
      <c r="E40" s="121" t="str">
        <f>VLOOKUP(Standings!$B40,DummyStandings!$B$5:$BD$48,3,FALSE)</f>
        <v>Sequoia</v>
      </c>
      <c r="F40" s="6">
        <f>VLOOKUP(Standings!$B40,DummyStandings!$B$5:$BD$48,COLUMN()+32,FALSE)</f>
        <v>14</v>
      </c>
      <c r="G40" s="17">
        <f>VLOOKUP(Standings!$B40,DummyStandings!$B$5:$BD$48,COLUMN()+32,FALSE)</f>
        <v>3</v>
      </c>
      <c r="H40" s="17">
        <f>VLOOKUP(Standings!$B40,DummyStandings!$B$5:$BD$48,COLUMN()+32,FALSE)</f>
        <v>11</v>
      </c>
      <c r="I40" s="17">
        <f>VLOOKUP(Standings!$B40,DummyStandings!$B$5:$BD$48,COLUMN()+32,FALSE)</f>
        <v>159</v>
      </c>
      <c r="J40" s="17">
        <f>VLOOKUP(Standings!$B40,DummyStandings!$B$5:$BD$48,COLUMN()+32,FALSE)</f>
        <v>342</v>
      </c>
      <c r="K40" s="8">
        <f>VLOOKUP(Standings!$B40,DummyStandings!$B$5:$BD$48,COLUMN()+32,FALSE)</f>
        <v>-183</v>
      </c>
      <c r="L40" s="21">
        <f>VLOOKUP(Standings!$B40,DummyStandings!$B$5:$BD$48,COLUMN()+32,FALSE)</f>
        <v>7</v>
      </c>
      <c r="M40" s="21">
        <f>VLOOKUP(Standings!$B40,DummyStandings!$B$5:$BD$48,COLUMN()+32,FALSE)</f>
        <v>1</v>
      </c>
      <c r="N40" s="21">
        <f>VLOOKUP(Standings!$B40,DummyStandings!$B$5:$BD$48,COLUMN()+32,FALSE)</f>
        <v>6</v>
      </c>
      <c r="O40" s="21">
        <f>VLOOKUP(Standings!$B40,DummyStandings!$B$5:$BD$48,COLUMN()+32,FALSE)</f>
        <v>85</v>
      </c>
      <c r="P40" s="21">
        <f>VLOOKUP(Standings!$B40,DummyStandings!$B$5:$BD$48,COLUMN()+32,FALSE)</f>
        <v>219</v>
      </c>
      <c r="Q40" s="22">
        <f>VLOOKUP(Standings!$B40,DummyStandings!$B$5:$BD$48,COLUMN()+32,FALSE)</f>
        <v>-134</v>
      </c>
      <c r="R40" s="21">
        <f>VLOOKUP(Standings!$B40,DummyStandings!$B$5:$BD$48,COLUMN()+32,FALSE)</f>
        <v>7</v>
      </c>
      <c r="S40" s="21">
        <f>VLOOKUP(Standings!$B40,DummyStandings!$B$5:$BD$48,COLUMN()+32,FALSE)</f>
        <v>2</v>
      </c>
      <c r="T40" s="21">
        <f>VLOOKUP(Standings!$B40,DummyStandings!$B$5:$BD$48,COLUMN()+32,FALSE)</f>
        <v>5</v>
      </c>
      <c r="U40" s="21">
        <f>VLOOKUP(Standings!$B40,DummyStandings!$B$5:$BD$48,COLUMN()+32,FALSE)</f>
        <v>74</v>
      </c>
      <c r="V40" s="21">
        <f>VLOOKUP(Standings!$B40,DummyStandings!$B$5:$BD$48,COLUMN()+32,FALSE)</f>
        <v>123</v>
      </c>
      <c r="W40" s="22">
        <f>VLOOKUP(Standings!$B40,DummyStandings!$B$5:$BD$48,COLUMN()+32,FALSE)</f>
        <v>-49</v>
      </c>
    </row>
    <row r="41" spans="2:23" ht="11.25">
      <c r="B41" s="25">
        <v>38</v>
      </c>
      <c r="C41" s="128" t="str">
        <f>VLOOKUP(Standings!$B41,DummyStandings!$B$5:$BD$48,2,FALSE)</f>
        <v>The Academy of Space</v>
      </c>
      <c r="D41" s="124">
        <f t="shared" si="2"/>
        <v>8</v>
      </c>
      <c r="E41" s="121" t="str">
        <f>VLOOKUP(Standings!$B41,DummyStandings!$B$5:$BD$48,3,FALSE)</f>
        <v>Sequoia</v>
      </c>
      <c r="F41" s="6">
        <f>VLOOKUP(Standings!$B41,DummyStandings!$B$5:$BD$48,COLUMN()+32,FALSE)</f>
        <v>14</v>
      </c>
      <c r="G41" s="17">
        <f>VLOOKUP(Standings!$B41,DummyStandings!$B$5:$BD$48,COLUMN()+32,FALSE)</f>
        <v>2</v>
      </c>
      <c r="H41" s="17">
        <f>VLOOKUP(Standings!$B41,DummyStandings!$B$5:$BD$48,COLUMN()+32,FALSE)</f>
        <v>12</v>
      </c>
      <c r="I41" s="17">
        <f>VLOOKUP(Standings!$B41,DummyStandings!$B$5:$BD$48,COLUMN()+32,FALSE)</f>
        <v>93</v>
      </c>
      <c r="J41" s="17">
        <f>VLOOKUP(Standings!$B41,DummyStandings!$B$5:$BD$48,COLUMN()+32,FALSE)</f>
        <v>279</v>
      </c>
      <c r="K41" s="8">
        <f>VLOOKUP(Standings!$B41,DummyStandings!$B$5:$BD$48,COLUMN()+32,FALSE)</f>
        <v>-186</v>
      </c>
      <c r="L41" s="21">
        <f>VLOOKUP(Standings!$B41,DummyStandings!$B$5:$BD$48,COLUMN()+32,FALSE)</f>
        <v>7</v>
      </c>
      <c r="M41" s="21">
        <f>VLOOKUP(Standings!$B41,DummyStandings!$B$5:$BD$48,COLUMN()+32,FALSE)</f>
        <v>1</v>
      </c>
      <c r="N41" s="21">
        <f>VLOOKUP(Standings!$B41,DummyStandings!$B$5:$BD$48,COLUMN()+32,FALSE)</f>
        <v>6</v>
      </c>
      <c r="O41" s="21">
        <f>VLOOKUP(Standings!$B41,DummyStandings!$B$5:$BD$48,COLUMN()+32,FALSE)</f>
        <v>39</v>
      </c>
      <c r="P41" s="21">
        <f>VLOOKUP(Standings!$B41,DummyStandings!$B$5:$BD$48,COLUMN()+32,FALSE)</f>
        <v>129</v>
      </c>
      <c r="Q41" s="22">
        <f>VLOOKUP(Standings!$B41,DummyStandings!$B$5:$BD$48,COLUMN()+32,FALSE)</f>
        <v>-90</v>
      </c>
      <c r="R41" s="21">
        <f>VLOOKUP(Standings!$B41,DummyStandings!$B$5:$BD$48,COLUMN()+32,FALSE)</f>
        <v>7</v>
      </c>
      <c r="S41" s="21">
        <f>VLOOKUP(Standings!$B41,DummyStandings!$B$5:$BD$48,COLUMN()+32,FALSE)</f>
        <v>1</v>
      </c>
      <c r="T41" s="21">
        <f>VLOOKUP(Standings!$B41,DummyStandings!$B$5:$BD$48,COLUMN()+32,FALSE)</f>
        <v>6</v>
      </c>
      <c r="U41" s="21">
        <f>VLOOKUP(Standings!$B41,DummyStandings!$B$5:$BD$48,COLUMN()+32,FALSE)</f>
        <v>54</v>
      </c>
      <c r="V41" s="21">
        <f>VLOOKUP(Standings!$B41,DummyStandings!$B$5:$BD$48,COLUMN()+32,FALSE)</f>
        <v>150</v>
      </c>
      <c r="W41" s="22">
        <f>VLOOKUP(Standings!$B41,DummyStandings!$B$5:$BD$48,COLUMN()+32,FALSE)</f>
        <v>-96</v>
      </c>
    </row>
    <row r="42" spans="2:23" ht="11.25">
      <c r="B42" s="25">
        <v>39</v>
      </c>
      <c r="C42" s="128" t="str">
        <f>VLOOKUP(Standings!$B42,DummyStandings!$B$5:$BD$48,2,FALSE)</f>
        <v>Relkul Setta State University</v>
      </c>
      <c r="D42" s="124">
        <f t="shared" si="2"/>
        <v>8</v>
      </c>
      <c r="E42" s="121" t="str">
        <f>VLOOKUP(Standings!$B42,DummyStandings!$B$5:$BD$48,3,FALSE)</f>
        <v>Big Eight</v>
      </c>
      <c r="F42" s="6">
        <f>VLOOKUP(Standings!$B42,DummyStandings!$B$5:$BD$48,COLUMN()+32,FALSE)</f>
        <v>14</v>
      </c>
      <c r="G42" s="17">
        <f>VLOOKUP(Standings!$B42,DummyStandings!$B$5:$BD$48,COLUMN()+32,FALSE)</f>
        <v>1</v>
      </c>
      <c r="H42" s="17">
        <f>VLOOKUP(Standings!$B42,DummyStandings!$B$5:$BD$48,COLUMN()+32,FALSE)</f>
        <v>13</v>
      </c>
      <c r="I42" s="17">
        <f>VLOOKUP(Standings!$B42,DummyStandings!$B$5:$BD$48,COLUMN()+32,FALSE)</f>
        <v>111</v>
      </c>
      <c r="J42" s="17">
        <f>VLOOKUP(Standings!$B42,DummyStandings!$B$5:$BD$48,COLUMN()+32,FALSE)</f>
        <v>358</v>
      </c>
      <c r="K42" s="8">
        <f>VLOOKUP(Standings!$B42,DummyStandings!$B$5:$BD$48,COLUMN()+32,FALSE)</f>
        <v>-247</v>
      </c>
      <c r="L42" s="21">
        <f>VLOOKUP(Standings!$B42,DummyStandings!$B$5:$BD$48,COLUMN()+32,FALSE)</f>
        <v>7</v>
      </c>
      <c r="M42" s="21">
        <f>VLOOKUP(Standings!$B42,DummyStandings!$B$5:$BD$48,COLUMN()+32,FALSE)</f>
        <v>1</v>
      </c>
      <c r="N42" s="21">
        <f>VLOOKUP(Standings!$B42,DummyStandings!$B$5:$BD$48,COLUMN()+32,FALSE)</f>
        <v>6</v>
      </c>
      <c r="O42" s="21">
        <f>VLOOKUP(Standings!$B42,DummyStandings!$B$5:$BD$48,COLUMN()+32,FALSE)</f>
        <v>75</v>
      </c>
      <c r="P42" s="21">
        <f>VLOOKUP(Standings!$B42,DummyStandings!$B$5:$BD$48,COLUMN()+32,FALSE)</f>
        <v>126</v>
      </c>
      <c r="Q42" s="22">
        <f>VLOOKUP(Standings!$B42,DummyStandings!$B$5:$BD$48,COLUMN()+32,FALSE)</f>
        <v>-51</v>
      </c>
      <c r="R42" s="21">
        <f>VLOOKUP(Standings!$B42,DummyStandings!$B$5:$BD$48,COLUMN()+32,FALSE)</f>
        <v>7</v>
      </c>
      <c r="S42" s="21">
        <f>VLOOKUP(Standings!$B42,DummyStandings!$B$5:$BD$48,COLUMN()+32,FALSE)</f>
        <v>0</v>
      </c>
      <c r="T42" s="21">
        <f>VLOOKUP(Standings!$B42,DummyStandings!$B$5:$BD$48,COLUMN()+32,FALSE)</f>
        <v>7</v>
      </c>
      <c r="U42" s="21">
        <f>VLOOKUP(Standings!$B42,DummyStandings!$B$5:$BD$48,COLUMN()+32,FALSE)</f>
        <v>36</v>
      </c>
      <c r="V42" s="21">
        <f>VLOOKUP(Standings!$B42,DummyStandings!$B$5:$BD$48,COLUMN()+32,FALSE)</f>
        <v>232</v>
      </c>
      <c r="W42" s="22">
        <f>VLOOKUP(Standings!$B42,DummyStandings!$B$5:$BD$48,COLUMN()+32,FALSE)</f>
        <v>-196</v>
      </c>
    </row>
    <row r="43" spans="2:23" ht="12" thickBot="1">
      <c r="B43" s="46">
        <v>40</v>
      </c>
      <c r="C43" s="129" t="str">
        <f>VLOOKUP(Standings!$B43,DummyStandings!$B$5:$BD$48,2,FALSE)</f>
        <v>Hudson College</v>
      </c>
      <c r="D43" s="126">
        <f t="shared" si="2"/>
        <v>8</v>
      </c>
      <c r="E43" s="125" t="str">
        <f>VLOOKUP(Standings!$B43,DummyStandings!$B$5:$BD$48,3,FALSE)</f>
        <v>Woodlands</v>
      </c>
      <c r="F43" s="4">
        <f>VLOOKUP(Standings!$B43,DummyStandings!$B$5:$BD$48,COLUMN()+32,FALSE)</f>
        <v>14</v>
      </c>
      <c r="G43" s="3">
        <f>VLOOKUP(Standings!$B43,DummyStandings!$B$5:$BD$48,COLUMN()+32,FALSE)</f>
        <v>0</v>
      </c>
      <c r="H43" s="3">
        <f>VLOOKUP(Standings!$B43,DummyStandings!$B$5:$BD$48,COLUMN()+32,FALSE)</f>
        <v>14</v>
      </c>
      <c r="I43" s="3">
        <f>VLOOKUP(Standings!$B43,DummyStandings!$B$5:$BD$48,COLUMN()+32,FALSE)</f>
        <v>53</v>
      </c>
      <c r="J43" s="3">
        <f>VLOOKUP(Standings!$B43,DummyStandings!$B$5:$BD$48,COLUMN()+32,FALSE)</f>
        <v>430</v>
      </c>
      <c r="K43" s="5">
        <f>VLOOKUP(Standings!$B43,DummyStandings!$B$5:$BD$48,COLUMN()+32,FALSE)</f>
        <v>-377</v>
      </c>
      <c r="L43" s="23">
        <f>VLOOKUP(Standings!$B43,DummyStandings!$B$5:$BD$48,COLUMN()+32,FALSE)</f>
        <v>7</v>
      </c>
      <c r="M43" s="23">
        <f>VLOOKUP(Standings!$B43,DummyStandings!$B$5:$BD$48,COLUMN()+32,FALSE)</f>
        <v>0</v>
      </c>
      <c r="N43" s="23">
        <f>VLOOKUP(Standings!$B43,DummyStandings!$B$5:$BD$48,COLUMN()+32,FALSE)</f>
        <v>7</v>
      </c>
      <c r="O43" s="23">
        <f>VLOOKUP(Standings!$B43,DummyStandings!$B$5:$BD$48,COLUMN()+32,FALSE)</f>
        <v>37</v>
      </c>
      <c r="P43" s="23">
        <f>VLOOKUP(Standings!$B43,DummyStandings!$B$5:$BD$48,COLUMN()+32,FALSE)</f>
        <v>199</v>
      </c>
      <c r="Q43" s="24">
        <f>VLOOKUP(Standings!$B43,DummyStandings!$B$5:$BD$48,COLUMN()+32,FALSE)</f>
        <v>-162</v>
      </c>
      <c r="R43" s="23">
        <f>VLOOKUP(Standings!$B43,DummyStandings!$B$5:$BD$48,COLUMN()+32,FALSE)</f>
        <v>7</v>
      </c>
      <c r="S43" s="23">
        <f>VLOOKUP(Standings!$B43,DummyStandings!$B$5:$BD$48,COLUMN()+32,FALSE)</f>
        <v>0</v>
      </c>
      <c r="T43" s="23">
        <f>VLOOKUP(Standings!$B43,DummyStandings!$B$5:$BD$48,COLUMN()+32,FALSE)</f>
        <v>7</v>
      </c>
      <c r="U43" s="23">
        <f>VLOOKUP(Standings!$B43,DummyStandings!$B$5:$BD$48,COLUMN()+32,FALSE)</f>
        <v>16</v>
      </c>
      <c r="V43" s="23">
        <f>VLOOKUP(Standings!$B43,DummyStandings!$B$5:$BD$48,COLUMN()+32,FALSE)</f>
        <v>231</v>
      </c>
      <c r="W43" s="24">
        <f>VLOOKUP(Standings!$B43,DummyStandings!$B$5:$BD$48,COLUMN()+32,FALSE)</f>
        <v>-215</v>
      </c>
    </row>
    <row r="44" spans="2:23" ht="11.2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2:23" ht="11.2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2:23" ht="11.2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2:23" ht="11.2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2:23" ht="11.2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2:23" ht="11.2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2:23" ht="11.2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2:23" ht="11.2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2:23" ht="11.2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2:23" ht="11.2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2:23" ht="11.2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2:23" ht="11.2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2:23" ht="11.2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2:23" ht="11.2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2:23" ht="11.2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2:23" ht="11.2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</sheetData>
  <sheetProtection selectLockedCells="1" selectUnlockedCells="1"/>
  <mergeCells count="7">
    <mergeCell ref="R2:W2"/>
    <mergeCell ref="E2:E3"/>
    <mergeCell ref="D2:D3"/>
    <mergeCell ref="B2:B3"/>
    <mergeCell ref="C2:C3"/>
    <mergeCell ref="F2:K2"/>
    <mergeCell ref="L2:Q2"/>
  </mergeCells>
  <conditionalFormatting sqref="B4:B43">
    <cfRule type="cellIs" priority="1" dxfId="0" operator="lessThanOrEqual" stopIfTrue="1">
      <formula>10</formula>
    </cfRule>
  </conditionalFormatting>
  <conditionalFormatting sqref="C4:E43">
    <cfRule type="expression" priority="2" dxfId="1" stopIfTrue="1">
      <formula>IF($D4&lt;2,1,0)=1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297"/>
  <sheetViews>
    <sheetView workbookViewId="0" topLeftCell="A1">
      <pane xSplit="8" ySplit="2" topLeftCell="I262" activePane="bottomRight" state="frozen"/>
      <selection pane="topLeft" activeCell="A1" sqref="A1"/>
      <selection pane="topRight" activeCell="I1" sqref="I1"/>
      <selection pane="bottomLeft" activeCell="A3" sqref="A3"/>
      <selection pane="bottomRight" activeCell="G297" sqref="G297"/>
    </sheetView>
  </sheetViews>
  <sheetFormatPr defaultColWidth="9.140625" defaultRowHeight="12.75"/>
  <cols>
    <col min="1" max="1" width="1.421875" style="71" customWidth="1"/>
    <col min="2" max="2" width="5.8515625" style="26" bestFit="1" customWidth="1"/>
    <col min="3" max="3" width="42.8515625" style="27" customWidth="1"/>
    <col min="4" max="5" width="5.7109375" style="1" customWidth="1"/>
    <col min="6" max="6" width="42.8515625" style="29" customWidth="1"/>
    <col min="7" max="7" width="32.8515625" style="26" bestFit="1" customWidth="1"/>
    <col min="8" max="8" width="10.28125" style="26" bestFit="1" customWidth="1"/>
    <col min="9" max="10" width="6.421875" style="1" hidden="1" customWidth="1"/>
    <col min="11" max="11" width="11.57421875" style="42" hidden="1" customWidth="1"/>
    <col min="12" max="12" width="6.8515625" style="26" hidden="1" customWidth="1"/>
    <col min="13" max="13" width="9.8515625" style="30" hidden="1" customWidth="1"/>
    <col min="14" max="14" width="3.57421875" style="0" hidden="1" customWidth="1"/>
    <col min="15" max="15" width="5.8515625" style="0" hidden="1" customWidth="1"/>
    <col min="16" max="16" width="8.57421875" style="1" hidden="1" customWidth="1"/>
    <col min="17" max="17" width="8.421875" style="1" hidden="1" customWidth="1"/>
    <col min="18" max="18" width="8.7109375" style="1" hidden="1" customWidth="1"/>
    <col min="19" max="19" width="8.421875" style="1" hidden="1" customWidth="1"/>
    <col min="20" max="21" width="3.28125" style="1" hidden="1" customWidth="1"/>
    <col min="22" max="25" width="5.57421875" style="1" hidden="1" customWidth="1"/>
    <col min="26" max="26" width="8.7109375" style="1" hidden="1" customWidth="1"/>
    <col min="27" max="27" width="8.421875" style="1" hidden="1" customWidth="1"/>
    <col min="28" max="36" width="9.140625" style="71" customWidth="1"/>
  </cols>
  <sheetData>
    <row r="1" spans="2:27" ht="7.5" customHeight="1" thickBot="1">
      <c r="B1" s="49"/>
      <c r="C1" s="72"/>
      <c r="D1" s="73"/>
      <c r="E1" s="73"/>
      <c r="F1" s="74"/>
      <c r="G1" s="49"/>
      <c r="H1" s="49"/>
      <c r="I1" s="73"/>
      <c r="J1" s="73"/>
      <c r="K1" s="75"/>
      <c r="L1" s="49"/>
      <c r="M1" s="48"/>
      <c r="N1" s="71"/>
      <c r="O1" s="71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2:27" ht="13.5" thickBot="1">
      <c r="B2" s="28" t="s">
        <v>13</v>
      </c>
      <c r="C2" s="135" t="s">
        <v>14</v>
      </c>
      <c r="D2" s="360" t="s">
        <v>15</v>
      </c>
      <c r="E2" s="361"/>
      <c r="F2" s="135" t="s">
        <v>16</v>
      </c>
      <c r="G2" s="135" t="s">
        <v>17</v>
      </c>
      <c r="H2" s="135" t="s">
        <v>18</v>
      </c>
      <c r="I2" s="10" t="s">
        <v>113</v>
      </c>
      <c r="J2" s="10" t="s">
        <v>114</v>
      </c>
      <c r="K2" s="65" t="s">
        <v>50</v>
      </c>
      <c r="L2" s="64" t="s">
        <v>61</v>
      </c>
      <c r="M2" s="64" t="s">
        <v>58</v>
      </c>
      <c r="N2" s="64" t="s">
        <v>59</v>
      </c>
      <c r="O2" s="64" t="s">
        <v>60</v>
      </c>
      <c r="P2" s="63" t="s">
        <v>63</v>
      </c>
      <c r="Q2" s="63" t="s">
        <v>64</v>
      </c>
      <c r="R2" s="63" t="s">
        <v>65</v>
      </c>
      <c r="S2" s="63" t="s">
        <v>66</v>
      </c>
      <c r="T2" s="58" t="s">
        <v>67</v>
      </c>
      <c r="U2" s="10" t="s">
        <v>68</v>
      </c>
      <c r="V2" s="58" t="s">
        <v>69</v>
      </c>
      <c r="W2" s="10" t="s">
        <v>70</v>
      </c>
      <c r="X2" s="58" t="s">
        <v>71</v>
      </c>
      <c r="Y2" s="10" t="s">
        <v>72</v>
      </c>
      <c r="Z2" s="58" t="s">
        <v>65</v>
      </c>
      <c r="AA2" s="62" t="s">
        <v>66</v>
      </c>
    </row>
    <row r="3" spans="2:27" ht="12.75">
      <c r="B3" s="214">
        <v>1</v>
      </c>
      <c r="C3" s="215" t="s">
        <v>144</v>
      </c>
      <c r="D3" s="170">
        <v>8</v>
      </c>
      <c r="E3" s="196">
        <v>3</v>
      </c>
      <c r="F3" s="220" t="s">
        <v>271</v>
      </c>
      <c r="G3" s="169" t="str">
        <f>INDEX(Teams!$B$5:$H$45,MATCH(Results!$C3,Teams!$B$5:$B$45,0),3)</f>
        <v>Cradence Stadium</v>
      </c>
      <c r="H3" s="169" t="str">
        <f>INDEX(Teams!$B$5:$H$45,MATCH(Results!$C3,Teams!$B$5:$B$45,0),5)</f>
        <v>Big Eight</v>
      </c>
      <c r="I3" s="152" t="str">
        <f>INDEX(Teams!$B$5:$H$45,MATCH(Results!$C3,Teams!$B$5:$B$45,0),6)</f>
        <v>ARLN</v>
      </c>
      <c r="J3" s="152" t="str">
        <f>INDEX(Teams!$B$5:$H$45,MATCH(Results!$F3,Teams!$B$5:$B$45,0),6)</f>
        <v>WAA</v>
      </c>
      <c r="K3" s="67" t="str">
        <f aca="true" t="shared" si="0" ref="K3:K66">I3&amp;J3</f>
        <v>ARLNWAA</v>
      </c>
      <c r="L3" s="66" t="str">
        <f aca="true" t="shared" si="1" ref="L3:L66">IF(M3=0,"",IF(D3&gt;E3,I3,J3))</f>
        <v>ARLN</v>
      </c>
      <c r="M3" s="66">
        <f aca="true" t="shared" si="2" ref="M3:M66">IF(OR(D3="",E3=""),0,1)</f>
        <v>1</v>
      </c>
      <c r="N3" s="66">
        <f aca="true" t="shared" si="3" ref="N3:N66">ABS(D3-E3)</f>
        <v>5</v>
      </c>
      <c r="O3" s="66" t="str">
        <f aca="true" t="shared" si="4" ref="O3:O66">IF(L3="","",IF(L3=I3,"Home","Away"))</f>
        <v>Home</v>
      </c>
      <c r="P3" s="66" t="str">
        <f aca="true" t="shared" si="5" ref="P3:P66">$I3&amp;$B3</f>
        <v>ARLN1</v>
      </c>
      <c r="Q3" s="66" t="str">
        <f aca="true" t="shared" si="6" ref="Q3:Q66">$J3&amp;$B3</f>
        <v>WAA1</v>
      </c>
      <c r="R3" s="66" t="e">
        <f>INDEX(RankPoints!$B$4:$AK$19,2,MATCH(Results!$I3,RankPoints!$B$4:$AK$4,0))</f>
        <v>#N/A</v>
      </c>
      <c r="S3" s="66" t="e">
        <f>INDEX(RankPoints!$B$4:$AK$19,2,MATCH(Results!$J3,RankPoints!$B$4:$AK$4,0))</f>
        <v>#N/A</v>
      </c>
      <c r="T3" s="66">
        <f aca="true" t="shared" si="7" ref="T3:T66">IF($O3="Home",1,0)</f>
        <v>1</v>
      </c>
      <c r="U3" s="152">
        <f aca="true" t="shared" si="8" ref="U3:U66">IF($O3="Away",1,0)</f>
        <v>0</v>
      </c>
      <c r="V3" s="153" t="e">
        <f>1/(1+(10^($X3/Teams!$H$3)))</f>
        <v>#N/A</v>
      </c>
      <c r="W3" s="154" t="e">
        <f>1/(1+(10^($Y3/Teams!$H$3)))</f>
        <v>#N/A</v>
      </c>
      <c r="X3" s="66" t="e">
        <f aca="true" t="shared" si="9" ref="X3:X66">$R3-$S3</f>
        <v>#N/A</v>
      </c>
      <c r="Y3" s="152" t="e">
        <f aca="true" t="shared" si="10" ref="Y3:Y66">$S3-$R3</f>
        <v>#N/A</v>
      </c>
      <c r="Z3" s="66" t="e">
        <f>ROUND($R3+(Teams!$H$2*($T3-$V3)),0)</f>
        <v>#N/A</v>
      </c>
      <c r="AA3" s="70" t="e">
        <f>ROUND($S3+(Teams!$H$2*($U3-$W3)),0)</f>
        <v>#N/A</v>
      </c>
    </row>
    <row r="4" spans="2:27" ht="12.75">
      <c r="B4" s="158">
        <v>1</v>
      </c>
      <c r="C4" s="216" t="s">
        <v>270</v>
      </c>
      <c r="D4" s="171">
        <v>19</v>
      </c>
      <c r="E4" s="175">
        <v>3</v>
      </c>
      <c r="F4" s="221" t="s">
        <v>154</v>
      </c>
      <c r="G4" s="151" t="str">
        <f>INDEX(Teams!$B$5:$H$45,MATCH(Results!$C4,Teams!$B$5:$B$45,0),3)</f>
        <v>Bugny Stadium</v>
      </c>
      <c r="H4" s="151" t="str">
        <f>INDEX(Teams!$B$5:$H$45,MATCH(Results!$C4,Teams!$B$5:$B$45,0),5)</f>
        <v>Big Eight</v>
      </c>
      <c r="I4" s="152" t="str">
        <f>INDEX(Teams!$B$5:$H$45,MATCH(Results!$C4,Teams!$B$5:$B$45,0),6)</f>
        <v>BUGN</v>
      </c>
      <c r="J4" s="152" t="str">
        <f>INDEX(Teams!$B$5:$H$45,MATCH(Results!$F4,Teams!$B$5:$B$45,0),6)</f>
        <v>NOBL</v>
      </c>
      <c r="K4" s="69" t="str">
        <f t="shared" si="0"/>
        <v>BUGNNOBL</v>
      </c>
      <c r="L4" s="68" t="str">
        <f t="shared" si="1"/>
        <v>BUGN</v>
      </c>
      <c r="M4" s="68">
        <f t="shared" si="2"/>
        <v>1</v>
      </c>
      <c r="N4" s="68">
        <f t="shared" si="3"/>
        <v>16</v>
      </c>
      <c r="O4" s="68" t="str">
        <f t="shared" si="4"/>
        <v>Home</v>
      </c>
      <c r="P4" s="68" t="str">
        <f t="shared" si="5"/>
        <v>BUGN1</v>
      </c>
      <c r="Q4" s="68" t="str">
        <f t="shared" si="6"/>
        <v>NOBL1</v>
      </c>
      <c r="R4" s="68">
        <f>INDEX(RankPoints!$B$4:$AK$19,2,MATCH(Results!$I4,RankPoints!$B$4:$AK$4,0))</f>
        <v>1651</v>
      </c>
      <c r="S4" s="68" t="e">
        <f>INDEX(RankPoints!$B$4:$AK$19,2,MATCH(Results!$J4,RankPoints!$B$4:$AK$4,0))</f>
        <v>#N/A</v>
      </c>
      <c r="T4" s="68">
        <f t="shared" si="7"/>
        <v>1</v>
      </c>
      <c r="U4" s="155">
        <f t="shared" si="8"/>
        <v>0</v>
      </c>
      <c r="V4" s="156" t="e">
        <f>1/(1+(10^($X4/Teams!$H$3)))</f>
        <v>#N/A</v>
      </c>
      <c r="W4" s="157" t="e">
        <f>1/(1+(10^($Y4/Teams!$H$3)))</f>
        <v>#N/A</v>
      </c>
      <c r="X4" s="68" t="e">
        <f t="shared" si="9"/>
        <v>#N/A</v>
      </c>
      <c r="Y4" s="155" t="e">
        <f t="shared" si="10"/>
        <v>#N/A</v>
      </c>
      <c r="Z4" s="68" t="e">
        <f>ROUND($R4+(Teams!$H$2*($T4-$V4)),0)</f>
        <v>#N/A</v>
      </c>
      <c r="AA4" s="158" t="e">
        <f>ROUND($S4+(Teams!$H$2*($U4-$W4)),0)</f>
        <v>#N/A</v>
      </c>
    </row>
    <row r="5" spans="2:27" ht="12.75">
      <c r="B5" s="158">
        <v>1</v>
      </c>
      <c r="C5" s="216" t="s">
        <v>148</v>
      </c>
      <c r="D5" s="171">
        <v>7</v>
      </c>
      <c r="E5" s="175">
        <v>20</v>
      </c>
      <c r="F5" s="221" t="s">
        <v>124</v>
      </c>
      <c r="G5" s="151" t="str">
        <f>INDEX(Teams!$B$5:$H$45,MATCH(Results!$C5,Teams!$B$5:$B$45,0),3)</f>
        <v>National Stadium</v>
      </c>
      <c r="H5" s="151" t="str">
        <f>INDEX(Teams!$B$5:$H$45,MATCH(Results!$C5,Teams!$B$5:$B$45,0),5)</f>
        <v>Big Eight</v>
      </c>
      <c r="I5" s="152" t="str">
        <f>INDEX(Teams!$B$5:$H$45,MATCH(Results!$C5,Teams!$B$5:$B$45,0),6)</f>
        <v>RELK</v>
      </c>
      <c r="J5" s="152" t="str">
        <f>INDEX(Teams!$B$5:$H$45,MATCH(Results!$F5,Teams!$B$5:$B$45,0),6)</f>
        <v>TIMC</v>
      </c>
      <c r="K5" s="69" t="str">
        <f t="shared" si="0"/>
        <v>RELKTIMC</v>
      </c>
      <c r="L5" s="68" t="str">
        <f t="shared" si="1"/>
        <v>TIMC</v>
      </c>
      <c r="M5" s="68">
        <f t="shared" si="2"/>
        <v>1</v>
      </c>
      <c r="N5" s="68">
        <f t="shared" si="3"/>
        <v>13</v>
      </c>
      <c r="O5" s="68" t="str">
        <f t="shared" si="4"/>
        <v>Away</v>
      </c>
      <c r="P5" s="68" t="str">
        <f t="shared" si="5"/>
        <v>RELK1</v>
      </c>
      <c r="Q5" s="68" t="str">
        <f t="shared" si="6"/>
        <v>TIMC1</v>
      </c>
      <c r="R5" s="68" t="e">
        <f>INDEX(RankPoints!$B$4:$AK$19,2,MATCH(Results!$I5,RankPoints!$B$4:$AK$4,0))</f>
        <v>#N/A</v>
      </c>
      <c r="S5" s="68" t="e">
        <f>INDEX(RankPoints!$B$4:$AK$19,2,MATCH(Results!$J5,RankPoints!$B$4:$AK$4,0))</f>
        <v>#N/A</v>
      </c>
      <c r="T5" s="68">
        <f t="shared" si="7"/>
        <v>0</v>
      </c>
      <c r="U5" s="155">
        <f t="shared" si="8"/>
        <v>1</v>
      </c>
      <c r="V5" s="156" t="e">
        <f>1/(1+(10^($X5/'[1]Teams'!$F$3)))</f>
        <v>#N/A</v>
      </c>
      <c r="W5" s="157" t="e">
        <f>1/(1+(10^($Y5/'[1]Teams'!$F$3)))</f>
        <v>#N/A</v>
      </c>
      <c r="X5" s="68" t="e">
        <f t="shared" si="9"/>
        <v>#N/A</v>
      </c>
      <c r="Y5" s="155" t="e">
        <f t="shared" si="10"/>
        <v>#N/A</v>
      </c>
      <c r="Z5" s="68" t="e">
        <f>ROUND($R5+(Teams!$H$2*($T5-$V5)),0)</f>
        <v>#N/A</v>
      </c>
      <c r="AA5" s="158" t="e">
        <f>ROUND($S5+(Teams!$H$2*($U5-$W5)),0)</f>
        <v>#N/A</v>
      </c>
    </row>
    <row r="6" spans="2:27" ht="12.75">
      <c r="B6" s="158">
        <v>1</v>
      </c>
      <c r="C6" s="216" t="s">
        <v>77</v>
      </c>
      <c r="D6" s="171">
        <v>20</v>
      </c>
      <c r="E6" s="175">
        <v>17</v>
      </c>
      <c r="F6" s="221" t="s">
        <v>76</v>
      </c>
      <c r="G6" s="151" t="str">
        <f>INDEX(Teams!$B$5:$H$45,MATCH(Results!$C6,Teams!$B$5:$B$45,0),3)</f>
        <v>Montbenoit Dome</v>
      </c>
      <c r="H6" s="151" t="str">
        <f>INDEX(Teams!$B$5:$H$45,MATCH(Results!$C6,Teams!$B$5:$B$45,0),5)</f>
        <v>Big Eight</v>
      </c>
      <c r="I6" s="152" t="str">
        <f>INDEX(Teams!$B$5:$H$45,MATCH(Results!$C6,Teams!$B$5:$B$45,0),6)</f>
        <v>SAUG</v>
      </c>
      <c r="J6" s="152" t="str">
        <f>INDEX(Teams!$B$5:$H$45,MATCH(Results!$F6,Teams!$B$5:$B$45,0),6)</f>
        <v>SCTT</v>
      </c>
      <c r="K6" s="69" t="str">
        <f t="shared" si="0"/>
        <v>SAUGSCTT</v>
      </c>
      <c r="L6" s="68" t="str">
        <f t="shared" si="1"/>
        <v>SAUG</v>
      </c>
      <c r="M6" s="68">
        <f t="shared" si="2"/>
        <v>1</v>
      </c>
      <c r="N6" s="68">
        <f t="shared" si="3"/>
        <v>3</v>
      </c>
      <c r="O6" s="68" t="str">
        <f t="shared" si="4"/>
        <v>Home</v>
      </c>
      <c r="P6" s="68" t="str">
        <f t="shared" si="5"/>
        <v>SAUG1</v>
      </c>
      <c r="Q6" s="68" t="str">
        <f t="shared" si="6"/>
        <v>SCTT1</v>
      </c>
      <c r="R6" s="68">
        <f>INDEX(RankPoints!$B$4:$AK$19,2,MATCH(Results!$I6,RankPoints!$B$4:$AK$4,0))</f>
        <v>1500</v>
      </c>
      <c r="S6" s="68">
        <f>INDEX(RankPoints!$B$4:$AK$19,2,MATCH(Results!$J6,RankPoints!$B$4:$AK$4,0))</f>
        <v>1500</v>
      </c>
      <c r="T6" s="68">
        <f t="shared" si="7"/>
        <v>1</v>
      </c>
      <c r="U6" s="155">
        <f t="shared" si="8"/>
        <v>0</v>
      </c>
      <c r="V6" s="156">
        <f>1/(1+(10^($X6/'[1]Teams'!$F$3)))</f>
        <v>0.5</v>
      </c>
      <c r="W6" s="157">
        <f>1/(1+(10^($Y6/'[1]Teams'!$F$3)))</f>
        <v>0.5</v>
      </c>
      <c r="X6" s="68">
        <f t="shared" si="9"/>
        <v>0</v>
      </c>
      <c r="Y6" s="155">
        <f t="shared" si="10"/>
        <v>0</v>
      </c>
      <c r="Z6" s="68">
        <f>ROUND($R6+(Teams!$H$2*($T6-$V6)),0)</f>
        <v>1516</v>
      </c>
      <c r="AA6" s="158">
        <f>ROUND($S6+(Teams!$H$2*($U6-$W6)),0)</f>
        <v>1484</v>
      </c>
    </row>
    <row r="7" spans="2:27" ht="12.75">
      <c r="B7" s="158">
        <v>1</v>
      </c>
      <c r="C7" s="216" t="s">
        <v>145</v>
      </c>
      <c r="D7" s="171">
        <v>7</v>
      </c>
      <c r="E7" s="175">
        <v>31</v>
      </c>
      <c r="F7" s="221" t="s">
        <v>248</v>
      </c>
      <c r="G7" s="151" t="str">
        <f>INDEX(Teams!$B$5:$H$45,MATCH(Results!$C7,Teams!$B$5:$B$45,0),3)</f>
        <v>Indana Municipal Field</v>
      </c>
      <c r="H7" s="151" t="str">
        <f>INDEX(Teams!$B$5:$H$45,MATCH(Results!$C7,Teams!$B$5:$B$45,0),5)</f>
        <v>Horizon</v>
      </c>
      <c r="I7" s="152" t="str">
        <f>INDEX(Teams!$B$5:$H$45,MATCH(Results!$C7,Teams!$B$5:$B$45,0),6)</f>
        <v>INDN</v>
      </c>
      <c r="J7" s="152" t="str">
        <f>INDEX(Teams!$B$5:$H$45,MATCH(Results!$F7,Teams!$B$5:$B$45,0),6)</f>
        <v>COLD</v>
      </c>
      <c r="K7" s="69" t="str">
        <f t="shared" si="0"/>
        <v>INDNCOLD</v>
      </c>
      <c r="L7" s="68" t="str">
        <f t="shared" si="1"/>
        <v>COLD</v>
      </c>
      <c r="M7" s="68">
        <f t="shared" si="2"/>
        <v>1</v>
      </c>
      <c r="N7" s="68">
        <f t="shared" si="3"/>
        <v>24</v>
      </c>
      <c r="O7" s="68" t="str">
        <f t="shared" si="4"/>
        <v>Away</v>
      </c>
      <c r="P7" s="68" t="str">
        <f t="shared" si="5"/>
        <v>INDN1</v>
      </c>
      <c r="Q7" s="68" t="str">
        <f t="shared" si="6"/>
        <v>COLD1</v>
      </c>
      <c r="R7" s="68" t="e">
        <f>INDEX(RankPoints!$B$4:$AK$19,2,MATCH(Results!$I7,RankPoints!$B$4:$AK$4,0))</f>
        <v>#N/A</v>
      </c>
      <c r="S7" s="68">
        <f>INDEX(RankPoints!$B$4:$AK$19,2,MATCH(Results!$J7,RankPoints!$B$4:$AK$4,0))</f>
        <v>1807</v>
      </c>
      <c r="T7" s="68">
        <f t="shared" si="7"/>
        <v>0</v>
      </c>
      <c r="U7" s="155">
        <f t="shared" si="8"/>
        <v>1</v>
      </c>
      <c r="V7" s="156" t="e">
        <f>1/(1+(10^($X7/'[1]Teams'!$F$3)))</f>
        <v>#N/A</v>
      </c>
      <c r="W7" s="157" t="e">
        <f>1/(1+(10^($Y7/'[1]Teams'!$F$3)))</f>
        <v>#N/A</v>
      </c>
      <c r="X7" s="68" t="e">
        <f t="shared" si="9"/>
        <v>#N/A</v>
      </c>
      <c r="Y7" s="155" t="e">
        <f t="shared" si="10"/>
        <v>#N/A</v>
      </c>
      <c r="Z7" s="68" t="e">
        <f>ROUND($R7+(Teams!$H$2*($T7-$V7)),0)</f>
        <v>#N/A</v>
      </c>
      <c r="AA7" s="158" t="e">
        <f>ROUND($S7+(Teams!$H$2*($U7-$W7)),0)</f>
        <v>#N/A</v>
      </c>
    </row>
    <row r="8" spans="2:27" ht="12.75">
      <c r="B8" s="158">
        <v>1</v>
      </c>
      <c r="C8" s="216" t="s">
        <v>20</v>
      </c>
      <c r="D8" s="171">
        <v>23</v>
      </c>
      <c r="E8" s="175">
        <v>10</v>
      </c>
      <c r="F8" s="221" t="s">
        <v>157</v>
      </c>
      <c r="G8" s="151" t="str">
        <f>INDEX(Teams!$B$5:$H$45,MATCH(Results!$C8,Teams!$B$5:$B$45,0),3)</f>
        <v>Capital Coliseum</v>
      </c>
      <c r="H8" s="151" t="str">
        <f>INDEX(Teams!$B$5:$H$45,MATCH(Results!$C8,Teams!$B$5:$B$45,0),5)</f>
        <v>Horizon</v>
      </c>
      <c r="I8" s="152" t="str">
        <f>INDEX(Teams!$B$5:$H$45,MATCH(Results!$C8,Teams!$B$5:$B$45,0),6)</f>
        <v>RCU</v>
      </c>
      <c r="J8" s="152" t="str">
        <f>INDEX(Teams!$B$5:$H$45,MATCH(Results!$F8,Teams!$B$5:$B$45,0),6)</f>
        <v>WIEN</v>
      </c>
      <c r="K8" s="69" t="str">
        <f t="shared" si="0"/>
        <v>RCUWIEN</v>
      </c>
      <c r="L8" s="68" t="str">
        <f t="shared" si="1"/>
        <v>RCU</v>
      </c>
      <c r="M8" s="68">
        <f t="shared" si="2"/>
        <v>1</v>
      </c>
      <c r="N8" s="68">
        <f t="shared" si="3"/>
        <v>13</v>
      </c>
      <c r="O8" s="68" t="str">
        <f t="shared" si="4"/>
        <v>Home</v>
      </c>
      <c r="P8" s="68" t="str">
        <f t="shared" si="5"/>
        <v>RCU1</v>
      </c>
      <c r="Q8" s="68" t="str">
        <f t="shared" si="6"/>
        <v>WIEN1</v>
      </c>
      <c r="R8" s="68">
        <f>INDEX(RankPoints!$B$4:$AK$19,2,MATCH(Results!$I8,RankPoints!$B$4:$AK$4,0))</f>
        <v>1650</v>
      </c>
      <c r="S8" s="68" t="e">
        <f>INDEX(RankPoints!$B$4:$AK$19,2,MATCH(Results!$J8,RankPoints!$B$4:$AK$4,0))</f>
        <v>#N/A</v>
      </c>
      <c r="T8" s="68">
        <f t="shared" si="7"/>
        <v>1</v>
      </c>
      <c r="U8" s="155">
        <f t="shared" si="8"/>
        <v>0</v>
      </c>
      <c r="V8" s="156" t="e">
        <f>1/(1+(10^($X8/'[1]Teams'!$F$3)))</f>
        <v>#N/A</v>
      </c>
      <c r="W8" s="157" t="e">
        <f>1/(1+(10^($Y8/'[1]Teams'!$F$3)))</f>
        <v>#N/A</v>
      </c>
      <c r="X8" s="68" t="e">
        <f t="shared" si="9"/>
        <v>#N/A</v>
      </c>
      <c r="Y8" s="155" t="e">
        <f t="shared" si="10"/>
        <v>#N/A</v>
      </c>
      <c r="Z8" s="68" t="e">
        <f>ROUND($R8+(Teams!$H$2*($T8-$V8)),0)</f>
        <v>#N/A</v>
      </c>
      <c r="AA8" s="158" t="e">
        <f>ROUND($S8+(Teams!$H$2*($U8-$W8)),0)</f>
        <v>#N/A</v>
      </c>
    </row>
    <row r="9" spans="2:27" ht="12.75">
      <c r="B9" s="158">
        <v>1</v>
      </c>
      <c r="C9" s="216" t="s">
        <v>153</v>
      </c>
      <c r="D9" s="171">
        <v>20</v>
      </c>
      <c r="E9" s="175">
        <v>17</v>
      </c>
      <c r="F9" s="221" t="s">
        <v>149</v>
      </c>
      <c r="G9" s="151" t="str">
        <f>INDEX(Teams!$B$5:$H$45,MATCH(Results!$C9,Teams!$B$5:$B$45,0),3)</f>
        <v>Cheikanwa Stadium</v>
      </c>
      <c r="H9" s="151" t="str">
        <f>INDEX(Teams!$B$5:$H$45,MATCH(Results!$C9,Teams!$B$5:$B$45,0),5)</f>
        <v>Horizon</v>
      </c>
      <c r="I9" s="152" t="str">
        <f>INDEX(Teams!$B$5:$H$45,MATCH(Results!$C9,Teams!$B$5:$B$45,0),6)</f>
        <v>RSTU</v>
      </c>
      <c r="J9" s="152" t="str">
        <f>INDEX(Teams!$B$5:$H$45,MATCH(Results!$F9,Teams!$B$5:$B$45,0),6)</f>
        <v>USPN</v>
      </c>
      <c r="K9" s="69" t="str">
        <f t="shared" si="0"/>
        <v>RSTUUSPN</v>
      </c>
      <c r="L9" s="68" t="str">
        <f t="shared" si="1"/>
        <v>RSTU</v>
      </c>
      <c r="M9" s="68">
        <f t="shared" si="2"/>
        <v>1</v>
      </c>
      <c r="N9" s="68">
        <f t="shared" si="3"/>
        <v>3</v>
      </c>
      <c r="O9" s="68" t="str">
        <f t="shared" si="4"/>
        <v>Home</v>
      </c>
      <c r="P9" s="68" t="str">
        <f t="shared" si="5"/>
        <v>RSTU1</v>
      </c>
      <c r="Q9" s="68" t="str">
        <f t="shared" si="6"/>
        <v>USPN1</v>
      </c>
      <c r="R9" s="68" t="e">
        <f>INDEX(RankPoints!$B$4:$AK$19,2,MATCH(Results!$I9,RankPoints!$B$4:$AK$4,0))</f>
        <v>#N/A</v>
      </c>
      <c r="S9" s="68" t="e">
        <f>INDEX(RankPoints!$B$4:$AK$19,2,MATCH(Results!$J9,RankPoints!$B$4:$AK$4,0))</f>
        <v>#N/A</v>
      </c>
      <c r="T9" s="68">
        <f t="shared" si="7"/>
        <v>1</v>
      </c>
      <c r="U9" s="155">
        <f t="shared" si="8"/>
        <v>0</v>
      </c>
      <c r="V9" s="156" t="e">
        <f>1/(1+(10^($X9/'[1]Teams'!$F$3)))</f>
        <v>#N/A</v>
      </c>
      <c r="W9" s="157" t="e">
        <f>1/(1+(10^($Y9/'[1]Teams'!$F$3)))</f>
        <v>#N/A</v>
      </c>
      <c r="X9" s="68" t="e">
        <f t="shared" si="9"/>
        <v>#N/A</v>
      </c>
      <c r="Y9" s="155" t="e">
        <f t="shared" si="10"/>
        <v>#N/A</v>
      </c>
      <c r="Z9" s="68" t="e">
        <f>ROUND($R9+(Teams!$H$2*($T9-$V9)),0)</f>
        <v>#N/A</v>
      </c>
      <c r="AA9" s="158" t="e">
        <f>ROUND($S9+(Teams!$H$2*($U9-$W9)),0)</f>
        <v>#N/A</v>
      </c>
    </row>
    <row r="10" spans="2:27" ht="12.75">
      <c r="B10" s="158">
        <v>1</v>
      </c>
      <c r="C10" s="216" t="s">
        <v>21</v>
      </c>
      <c r="D10" s="171">
        <v>13</v>
      </c>
      <c r="E10" s="175">
        <v>6</v>
      </c>
      <c r="F10" s="221" t="s">
        <v>151</v>
      </c>
      <c r="G10" s="151" t="str">
        <f>INDEX(Teams!$B$5:$H$45,MATCH(Results!$C10,Teams!$B$5:$B$45,0),3)</f>
        <v>Finglass Field</v>
      </c>
      <c r="H10" s="151" t="str">
        <f>INDEX(Teams!$B$5:$H$45,MATCH(Results!$C10,Teams!$B$5:$B$45,0),5)</f>
        <v>Horizon</v>
      </c>
      <c r="I10" s="152" t="str">
        <f>INDEX(Teams!$B$5:$H$45,MATCH(Results!$C10,Teams!$B$5:$B$45,0),6)</f>
        <v>STON</v>
      </c>
      <c r="J10" s="152" t="str">
        <f>INDEX(Teams!$B$5:$H$45,MATCH(Results!$F10,Teams!$B$5:$B$45,0),6)</f>
        <v>OLYM</v>
      </c>
      <c r="K10" s="69" t="str">
        <f t="shared" si="0"/>
        <v>STONOLYM</v>
      </c>
      <c r="L10" s="68" t="str">
        <f t="shared" si="1"/>
        <v>STON</v>
      </c>
      <c r="M10" s="68">
        <f t="shared" si="2"/>
        <v>1</v>
      </c>
      <c r="N10" s="68">
        <f t="shared" si="3"/>
        <v>7</v>
      </c>
      <c r="O10" s="68" t="str">
        <f t="shared" si="4"/>
        <v>Home</v>
      </c>
      <c r="P10" s="68" t="str">
        <f t="shared" si="5"/>
        <v>STON1</v>
      </c>
      <c r="Q10" s="68" t="str">
        <f t="shared" si="6"/>
        <v>OLYM1</v>
      </c>
      <c r="R10" s="68">
        <f>INDEX(RankPoints!$B$4:$AK$19,2,MATCH(Results!$I10,RankPoints!$B$4:$AK$4,0))</f>
        <v>1380</v>
      </c>
      <c r="S10" s="68" t="e">
        <f>INDEX(RankPoints!$B$4:$AK$19,2,MATCH(Results!$J10,RankPoints!$B$4:$AK$4,0))</f>
        <v>#N/A</v>
      </c>
      <c r="T10" s="68">
        <f t="shared" si="7"/>
        <v>1</v>
      </c>
      <c r="U10" s="155">
        <f t="shared" si="8"/>
        <v>0</v>
      </c>
      <c r="V10" s="156" t="e">
        <f>1/(1+(10^($X10/'[1]Teams'!$F$3)))</f>
        <v>#N/A</v>
      </c>
      <c r="W10" s="157" t="e">
        <f>1/(1+(10^($Y10/'[1]Teams'!$F$3)))</f>
        <v>#N/A</v>
      </c>
      <c r="X10" s="68" t="e">
        <f t="shared" si="9"/>
        <v>#N/A</v>
      </c>
      <c r="Y10" s="155" t="e">
        <f t="shared" si="10"/>
        <v>#N/A</v>
      </c>
      <c r="Z10" s="68" t="e">
        <f>ROUND($R10+(Teams!$H$2*($T10-$V10)),0)</f>
        <v>#N/A</v>
      </c>
      <c r="AA10" s="158" t="e">
        <f>ROUND($S10+(Teams!$H$2*($U10-$W10)),0)</f>
        <v>#N/A</v>
      </c>
    </row>
    <row r="11" spans="2:27" ht="12.75">
      <c r="B11" s="158">
        <v>1</v>
      </c>
      <c r="C11" s="216" t="s">
        <v>156</v>
      </c>
      <c r="D11" s="171">
        <v>33</v>
      </c>
      <c r="E11" s="175">
        <v>13</v>
      </c>
      <c r="F11" s="221" t="s">
        <v>121</v>
      </c>
      <c r="G11" s="151" t="str">
        <f>INDEX(Teams!$B$5:$H$45,MATCH(Results!$C11,Teams!$B$5:$B$45,0),3)</f>
        <v>Luis Cod Memorial Stadium</v>
      </c>
      <c r="H11" s="151" t="str">
        <f>INDEX(Teams!$B$5:$H$45,MATCH(Results!$C11,Teams!$B$5:$B$45,0),5)</f>
        <v>Mineral</v>
      </c>
      <c r="I11" s="152" t="str">
        <f>INDEX(Teams!$B$5:$H$45,MATCH(Results!$C11,Teams!$B$5:$B$45,0),6)</f>
        <v>BLUE</v>
      </c>
      <c r="J11" s="152" t="str">
        <f>INDEX(Teams!$B$5:$H$45,MATCH(Results!$F11,Teams!$B$5:$B$45,0),6)</f>
        <v>CRGA</v>
      </c>
      <c r="K11" s="69" t="str">
        <f t="shared" si="0"/>
        <v>BLUECRGA</v>
      </c>
      <c r="L11" s="68" t="str">
        <f t="shared" si="1"/>
        <v>BLUE</v>
      </c>
      <c r="M11" s="68">
        <f t="shared" si="2"/>
        <v>1</v>
      </c>
      <c r="N11" s="68">
        <f t="shared" si="3"/>
        <v>20</v>
      </c>
      <c r="O11" s="68" t="str">
        <f t="shared" si="4"/>
        <v>Home</v>
      </c>
      <c r="P11" s="68" t="str">
        <f t="shared" si="5"/>
        <v>BLUE1</v>
      </c>
      <c r="Q11" s="68" t="str">
        <f t="shared" si="6"/>
        <v>CRGA1</v>
      </c>
      <c r="R11" s="68" t="e">
        <f>INDEX(RankPoints!$B$4:$AK$19,2,MATCH(Results!$I11,RankPoints!$B$4:$AK$4,0))</f>
        <v>#N/A</v>
      </c>
      <c r="S11" s="68" t="e">
        <f>INDEX(RankPoints!$B$4:$AK$19,2,MATCH(Results!$J11,RankPoints!$B$4:$AK$4,0))</f>
        <v>#N/A</v>
      </c>
      <c r="T11" s="68">
        <f t="shared" si="7"/>
        <v>1</v>
      </c>
      <c r="U11" s="155">
        <f t="shared" si="8"/>
        <v>0</v>
      </c>
      <c r="V11" s="156" t="e">
        <f>1/(1+(10^($X11/'[1]Teams'!$F$3)))</f>
        <v>#N/A</v>
      </c>
      <c r="W11" s="157" t="e">
        <f>1/(1+(10^($Y11/'[1]Teams'!$F$3)))</f>
        <v>#N/A</v>
      </c>
      <c r="X11" s="68" t="e">
        <f t="shared" si="9"/>
        <v>#N/A</v>
      </c>
      <c r="Y11" s="155" t="e">
        <f t="shared" si="10"/>
        <v>#N/A</v>
      </c>
      <c r="Z11" s="68" t="e">
        <f>ROUND($R11+(Teams!$H$2*($T11-$V11)),0)</f>
        <v>#N/A</v>
      </c>
      <c r="AA11" s="158" t="e">
        <f>ROUND($S11+(Teams!$H$2*($U11-$W11)),0)</f>
        <v>#N/A</v>
      </c>
    </row>
    <row r="12" spans="2:27" ht="12.75">
      <c r="B12" s="158">
        <v>1</v>
      </c>
      <c r="C12" s="216" t="s">
        <v>155</v>
      </c>
      <c r="D12" s="171">
        <v>13</v>
      </c>
      <c r="E12" s="175">
        <v>37</v>
      </c>
      <c r="F12" s="221" t="s">
        <v>80</v>
      </c>
      <c r="G12" s="151" t="str">
        <f>INDEX(Teams!$B$5:$H$45,MATCH(Results!$C12,Teams!$B$5:$B$45,0),3)</f>
        <v>East Kilbride Area</v>
      </c>
      <c r="H12" s="151" t="str">
        <f>INDEX(Teams!$B$5:$H$45,MATCH(Results!$C12,Teams!$B$5:$B$45,0),5)</f>
        <v>Mineral</v>
      </c>
      <c r="I12" s="152" t="str">
        <f>INDEX(Teams!$B$5:$H$45,MATCH(Results!$C12,Teams!$B$5:$B$45,0),6)</f>
        <v>EKIL</v>
      </c>
      <c r="J12" s="152" t="str">
        <f>INDEX(Teams!$B$5:$H$45,MATCH(Results!$F12,Teams!$B$5:$B$45,0),6)</f>
        <v>OCSU</v>
      </c>
      <c r="K12" s="69" t="str">
        <f t="shared" si="0"/>
        <v>EKILOCSU</v>
      </c>
      <c r="L12" s="68" t="str">
        <f t="shared" si="1"/>
        <v>OCSU</v>
      </c>
      <c r="M12" s="68">
        <f t="shared" si="2"/>
        <v>1</v>
      </c>
      <c r="N12" s="68">
        <f t="shared" si="3"/>
        <v>24</v>
      </c>
      <c r="O12" s="68" t="str">
        <f t="shared" si="4"/>
        <v>Away</v>
      </c>
      <c r="P12" s="68" t="str">
        <f t="shared" si="5"/>
        <v>EKIL1</v>
      </c>
      <c r="Q12" s="68" t="str">
        <f t="shared" si="6"/>
        <v>OCSU1</v>
      </c>
      <c r="R12" s="68" t="e">
        <f>INDEX(RankPoints!$B$4:$AK$19,2,MATCH(Results!$I12,RankPoints!$B$4:$AK$4,0))</f>
        <v>#N/A</v>
      </c>
      <c r="S12" s="68">
        <f>INDEX(RankPoints!$B$4:$AK$19,2,MATCH(Results!$J12,RankPoints!$B$4:$AK$4,0))</f>
        <v>1500</v>
      </c>
      <c r="T12" s="68">
        <f t="shared" si="7"/>
        <v>0</v>
      </c>
      <c r="U12" s="155">
        <f t="shared" si="8"/>
        <v>1</v>
      </c>
      <c r="V12" s="156" t="e">
        <f>1/(1+(10^($X12/'[1]Teams'!$F$3)))</f>
        <v>#N/A</v>
      </c>
      <c r="W12" s="157" t="e">
        <f>1/(1+(10^($Y12/'[1]Teams'!$F$3)))</f>
        <v>#N/A</v>
      </c>
      <c r="X12" s="68" t="e">
        <f t="shared" si="9"/>
        <v>#N/A</v>
      </c>
      <c r="Y12" s="155" t="e">
        <f t="shared" si="10"/>
        <v>#N/A</v>
      </c>
      <c r="Z12" s="68" t="e">
        <f>ROUND($R12+(Teams!$H$2*($T12-$V12)),0)</f>
        <v>#N/A</v>
      </c>
      <c r="AA12" s="158" t="e">
        <f>ROUND($S12+(Teams!$H$2*($U12-$W12)),0)</f>
        <v>#N/A</v>
      </c>
    </row>
    <row r="13" spans="2:27" ht="12.75">
      <c r="B13" s="158">
        <v>1</v>
      </c>
      <c r="C13" s="216" t="s">
        <v>150</v>
      </c>
      <c r="D13" s="171">
        <v>22</v>
      </c>
      <c r="E13" s="175">
        <v>10</v>
      </c>
      <c r="F13" s="221" t="s">
        <v>146</v>
      </c>
      <c r="G13" s="151" t="str">
        <f>INDEX(Teams!$B$5:$H$45,MATCH(Results!$C13,Teams!$B$5:$B$45,0),3)</f>
        <v>Roger Jalston Memorial Stadium</v>
      </c>
      <c r="H13" s="151" t="str">
        <f>INDEX(Teams!$B$5:$H$45,MATCH(Results!$C13,Teams!$B$5:$B$45,0),5)</f>
        <v>Mineral</v>
      </c>
      <c r="I13" s="152" t="str">
        <f>INDEX(Teams!$B$5:$H$45,MATCH(Results!$C13,Teams!$B$5:$B$45,0),6)</f>
        <v>RICH</v>
      </c>
      <c r="J13" s="152" t="str">
        <f>INDEX(Teams!$B$5:$H$45,MATCH(Results!$F13,Teams!$B$5:$B$45,0),6)</f>
        <v>WSIT</v>
      </c>
      <c r="K13" s="69" t="str">
        <f t="shared" si="0"/>
        <v>RICHWSIT</v>
      </c>
      <c r="L13" s="68" t="str">
        <f t="shared" si="1"/>
        <v>RICH</v>
      </c>
      <c r="M13" s="68">
        <f t="shared" si="2"/>
        <v>1</v>
      </c>
      <c r="N13" s="68">
        <f t="shared" si="3"/>
        <v>12</v>
      </c>
      <c r="O13" s="68" t="str">
        <f t="shared" si="4"/>
        <v>Home</v>
      </c>
      <c r="P13" s="68" t="str">
        <f t="shared" si="5"/>
        <v>RICH1</v>
      </c>
      <c r="Q13" s="68" t="str">
        <f t="shared" si="6"/>
        <v>WSIT1</v>
      </c>
      <c r="R13" s="68" t="e">
        <f>INDEX(RankPoints!$B$4:$AK$19,2,MATCH(Results!$I13,RankPoints!$B$4:$AK$4,0))</f>
        <v>#N/A</v>
      </c>
      <c r="S13" s="68" t="e">
        <f>INDEX(RankPoints!$B$4:$AK$19,2,MATCH(Results!$J13,RankPoints!$B$4:$AK$4,0))</f>
        <v>#N/A</v>
      </c>
      <c r="T13" s="68">
        <f t="shared" si="7"/>
        <v>1</v>
      </c>
      <c r="U13" s="155">
        <f t="shared" si="8"/>
        <v>0</v>
      </c>
      <c r="V13" s="156" t="e">
        <f>1/(1+(10^($X13/'[1]Teams'!$F$3)))</f>
        <v>#N/A</v>
      </c>
      <c r="W13" s="157" t="e">
        <f>1/(1+(10^($Y13/'[1]Teams'!$F$3)))</f>
        <v>#N/A</v>
      </c>
      <c r="X13" s="68" t="e">
        <f t="shared" si="9"/>
        <v>#N/A</v>
      </c>
      <c r="Y13" s="155" t="e">
        <f t="shared" si="10"/>
        <v>#N/A</v>
      </c>
      <c r="Z13" s="68" t="e">
        <f>ROUND($R13+(Teams!$H$2*($T13-$V13)),0)</f>
        <v>#N/A</v>
      </c>
      <c r="AA13" s="158" t="e">
        <f>ROUND($S13+(Teams!$H$2*($U13-$W13)),0)</f>
        <v>#N/A</v>
      </c>
    </row>
    <row r="14" spans="2:27" ht="12.75">
      <c r="B14" s="158">
        <v>1</v>
      </c>
      <c r="C14" s="216" t="s">
        <v>266</v>
      </c>
      <c r="D14" s="171">
        <v>37</v>
      </c>
      <c r="E14" s="175">
        <v>7</v>
      </c>
      <c r="F14" s="221" t="s">
        <v>251</v>
      </c>
      <c r="G14" s="151" t="str">
        <f>INDEX(Teams!$B$5:$H$45,MATCH(Results!$C14,Teams!$B$5:$B$45,0),3)</f>
        <v>ATD Park</v>
      </c>
      <c r="H14" s="151" t="str">
        <f>INDEX(Teams!$B$5:$H$45,MATCH(Results!$C14,Teams!$B$5:$B$45,0),5)</f>
        <v>Mineral</v>
      </c>
      <c r="I14" s="152" t="str">
        <f>INDEX(Teams!$B$5:$H$45,MATCH(Results!$C14,Teams!$B$5:$B$45,0),6)</f>
        <v>UPSL</v>
      </c>
      <c r="J14" s="152" t="str">
        <f>INDEX(Teams!$B$5:$H$45,MATCH(Results!$F14,Teams!$B$5:$B$45,0),6)</f>
        <v>HRLP</v>
      </c>
      <c r="K14" s="69" t="str">
        <f t="shared" si="0"/>
        <v>UPSLHRLP</v>
      </c>
      <c r="L14" s="68" t="str">
        <f t="shared" si="1"/>
        <v>UPSL</v>
      </c>
      <c r="M14" s="68">
        <f t="shared" si="2"/>
        <v>1</v>
      </c>
      <c r="N14" s="68">
        <f t="shared" si="3"/>
        <v>30</v>
      </c>
      <c r="O14" s="68" t="str">
        <f t="shared" si="4"/>
        <v>Home</v>
      </c>
      <c r="P14" s="68" t="str">
        <f t="shared" si="5"/>
        <v>UPSL1</v>
      </c>
      <c r="Q14" s="68" t="str">
        <f t="shared" si="6"/>
        <v>HRLP1</v>
      </c>
      <c r="R14" s="68">
        <f>INDEX(RankPoints!$B$4:$AK$19,2,MATCH(Results!$I14,RankPoints!$B$4:$AK$4,0))</f>
        <v>1500</v>
      </c>
      <c r="S14" s="68" t="e">
        <f>INDEX(RankPoints!$B$4:$AK$19,2,MATCH(Results!$J14,RankPoints!$B$4:$AK$4,0))</f>
        <v>#N/A</v>
      </c>
      <c r="T14" s="68">
        <f t="shared" si="7"/>
        <v>1</v>
      </c>
      <c r="U14" s="155">
        <f t="shared" si="8"/>
        <v>0</v>
      </c>
      <c r="V14" s="156" t="e">
        <f>1/(1+(10^($X14/'[1]Teams'!$F$3)))</f>
        <v>#N/A</v>
      </c>
      <c r="W14" s="157" t="e">
        <f>1/(1+(10^($Y14/'[1]Teams'!$F$3)))</f>
        <v>#N/A</v>
      </c>
      <c r="X14" s="68" t="e">
        <f t="shared" si="9"/>
        <v>#N/A</v>
      </c>
      <c r="Y14" s="155" t="e">
        <f t="shared" si="10"/>
        <v>#N/A</v>
      </c>
      <c r="Z14" s="68" t="e">
        <f>ROUND($R14+(Teams!$H$2*($T14-$V14)),0)</f>
        <v>#N/A</v>
      </c>
      <c r="AA14" s="158" t="e">
        <f>ROUND($S14+(Teams!$H$2*($U14-$W14)),0)</f>
        <v>#N/A</v>
      </c>
    </row>
    <row r="15" spans="2:27" ht="12.75">
      <c r="B15" s="158">
        <v>1</v>
      </c>
      <c r="C15" s="217" t="s">
        <v>265</v>
      </c>
      <c r="D15" s="171">
        <v>0</v>
      </c>
      <c r="E15" s="175">
        <v>24</v>
      </c>
      <c r="F15" s="222" t="s">
        <v>269</v>
      </c>
      <c r="G15" s="151" t="str">
        <f>INDEX(Teams!$B$5:$H$45,MATCH(Results!$C15,Teams!$B$5:$B$45,0),3)</f>
        <v>Extraterrestrial Dome of Sport</v>
      </c>
      <c r="H15" s="151" t="str">
        <f>INDEX(Teams!$B$5:$H$45,MATCH(Results!$C15,Teams!$B$5:$B$45,0),5)</f>
        <v>Sequoia</v>
      </c>
      <c r="I15" s="152" t="str">
        <f>INDEX(Teams!$B$5:$H$45,MATCH(Results!$C15,Teams!$B$5:$B$45,0),6)</f>
        <v>ACSP</v>
      </c>
      <c r="J15" s="152" t="str">
        <f>INDEX(Teams!$B$5:$H$45,MATCH(Results!$F15,Teams!$B$5:$B$45,0),6)</f>
        <v>STJN</v>
      </c>
      <c r="K15" s="69" t="str">
        <f t="shared" si="0"/>
        <v>ACSPSTJN</v>
      </c>
      <c r="L15" s="68" t="str">
        <f t="shared" si="1"/>
        <v>STJN</v>
      </c>
      <c r="M15" s="68">
        <f t="shared" si="2"/>
        <v>1</v>
      </c>
      <c r="N15" s="68">
        <f t="shared" si="3"/>
        <v>24</v>
      </c>
      <c r="O15" s="68" t="str">
        <f t="shared" si="4"/>
        <v>Away</v>
      </c>
      <c r="P15" s="68" t="str">
        <f t="shared" si="5"/>
        <v>ACSP1</v>
      </c>
      <c r="Q15" s="68" t="str">
        <f t="shared" si="6"/>
        <v>STJN1</v>
      </c>
      <c r="R15" s="68" t="e">
        <f>INDEX(RankPoints!$B$4:$AK$19,2,MATCH(Results!$I15,RankPoints!$B$4:$AK$4,0))</f>
        <v>#N/A</v>
      </c>
      <c r="S15" s="68">
        <f>INDEX(RankPoints!$B$4:$AK$19,2,MATCH(Results!$J15,RankPoints!$B$4:$AK$4,0))</f>
        <v>1599</v>
      </c>
      <c r="T15" s="68">
        <f t="shared" si="7"/>
        <v>0</v>
      </c>
      <c r="U15" s="155">
        <f t="shared" si="8"/>
        <v>1</v>
      </c>
      <c r="V15" s="156" t="e">
        <f>1/(1+(10^($X15/'[1]Teams'!$F$3)))</f>
        <v>#N/A</v>
      </c>
      <c r="W15" s="157" t="e">
        <f>1/(1+(10^($Y15/'[1]Teams'!$F$3)))</f>
        <v>#N/A</v>
      </c>
      <c r="X15" s="68" t="e">
        <f t="shared" si="9"/>
        <v>#N/A</v>
      </c>
      <c r="Y15" s="155" t="e">
        <f t="shared" si="10"/>
        <v>#N/A</v>
      </c>
      <c r="Z15" s="68" t="e">
        <f>ROUND($R15+(Teams!$H$2*($T15-$V15)),0)</f>
        <v>#N/A</v>
      </c>
      <c r="AA15" s="158" t="e">
        <f>ROUND($S15+(Teams!$H$2*($U15-$W15)),0)</f>
        <v>#N/A</v>
      </c>
    </row>
    <row r="16" spans="2:27" ht="12.75">
      <c r="B16" s="158">
        <v>1</v>
      </c>
      <c r="C16" s="216" t="s">
        <v>117</v>
      </c>
      <c r="D16" s="171">
        <v>6</v>
      </c>
      <c r="E16" s="175">
        <v>10</v>
      </c>
      <c r="F16" s="221" t="s">
        <v>79</v>
      </c>
      <c r="G16" s="151" t="str">
        <f>INDEX(Teams!$B$5:$H$45,MATCH(Results!$C16,Teams!$B$5:$B$45,0),3)</f>
        <v>Rimben Park</v>
      </c>
      <c r="H16" s="151" t="str">
        <f>INDEX(Teams!$B$5:$H$45,MATCH(Results!$C16,Teams!$B$5:$B$45,0),5)</f>
        <v>Sequoia</v>
      </c>
      <c r="I16" s="152" t="str">
        <f>INDEX(Teams!$B$5:$H$45,MATCH(Results!$C16,Teams!$B$5:$B$45,0),6)</f>
        <v>ALUT</v>
      </c>
      <c r="J16" s="152" t="str">
        <f>INDEX(Teams!$B$5:$H$45,MATCH(Results!$F16,Teams!$B$5:$B$45,0),6)</f>
        <v>RVMD</v>
      </c>
      <c r="K16" s="69" t="str">
        <f t="shared" si="0"/>
        <v>ALUTRVMD</v>
      </c>
      <c r="L16" s="68" t="str">
        <f t="shared" si="1"/>
        <v>RVMD</v>
      </c>
      <c r="M16" s="68">
        <f t="shared" si="2"/>
        <v>1</v>
      </c>
      <c r="N16" s="68">
        <f t="shared" si="3"/>
        <v>4</v>
      </c>
      <c r="O16" s="68" t="str">
        <f t="shared" si="4"/>
        <v>Away</v>
      </c>
      <c r="P16" s="68" t="str">
        <f t="shared" si="5"/>
        <v>ALUT1</v>
      </c>
      <c r="Q16" s="68" t="str">
        <f t="shared" si="6"/>
        <v>RVMD1</v>
      </c>
      <c r="R16" s="68" t="e">
        <f>INDEX(RankPoints!$B$4:$AK$19,2,MATCH(Results!$I16,RankPoints!$B$4:$AK$4,0))</f>
        <v>#N/A</v>
      </c>
      <c r="S16" s="68">
        <f>INDEX(RankPoints!$B$4:$AK$19,2,MATCH(Results!$J16,RankPoints!$B$4:$AK$4,0))</f>
        <v>1500</v>
      </c>
      <c r="T16" s="68">
        <f t="shared" si="7"/>
        <v>0</v>
      </c>
      <c r="U16" s="155">
        <f t="shared" si="8"/>
        <v>1</v>
      </c>
      <c r="V16" s="156" t="e">
        <f>1/(1+(10^($X16/'[1]Teams'!$F$3)))</f>
        <v>#N/A</v>
      </c>
      <c r="W16" s="157" t="e">
        <f>1/(1+(10^($Y16/'[1]Teams'!$F$3)))</f>
        <v>#N/A</v>
      </c>
      <c r="X16" s="68" t="e">
        <f t="shared" si="9"/>
        <v>#N/A</v>
      </c>
      <c r="Y16" s="155" t="e">
        <f t="shared" si="10"/>
        <v>#N/A</v>
      </c>
      <c r="Z16" s="68" t="e">
        <f>ROUND($R16+(Teams!$H$2*($T16-$V16)),0)</f>
        <v>#N/A</v>
      </c>
      <c r="AA16" s="158" t="e">
        <f>ROUND($S16+(Teams!$H$2*($U16-$W16)),0)</f>
        <v>#N/A</v>
      </c>
    </row>
    <row r="17" spans="2:27" ht="12.75">
      <c r="B17" s="158">
        <v>1</v>
      </c>
      <c r="C17" s="216" t="s">
        <v>19</v>
      </c>
      <c r="D17" s="171">
        <v>7</v>
      </c>
      <c r="E17" s="175">
        <v>0</v>
      </c>
      <c r="F17" s="221" t="s">
        <v>111</v>
      </c>
      <c r="G17" s="151" t="str">
        <f>INDEX(Teams!$B$5:$H$45,MATCH(Results!$C17,Teams!$B$5:$B$45,0),3)</f>
        <v>Tiegemburg Park</v>
      </c>
      <c r="H17" s="151" t="str">
        <f>INDEX(Teams!$B$5:$H$45,MATCH(Results!$C17,Teams!$B$5:$B$45,0),5)</f>
        <v>Sequoia</v>
      </c>
      <c r="I17" s="152" t="str">
        <f>INDEX(Teams!$B$5:$H$45,MATCH(Results!$C17,Teams!$B$5:$B$45,0),6)</f>
        <v>ALZD</v>
      </c>
      <c r="J17" s="152" t="str">
        <f>INDEX(Teams!$B$5:$H$45,MATCH(Results!$F17,Teams!$B$5:$B$45,0),6)</f>
        <v>NRDN</v>
      </c>
      <c r="K17" s="69" t="str">
        <f t="shared" si="0"/>
        <v>ALZDNRDN</v>
      </c>
      <c r="L17" s="68" t="str">
        <f t="shared" si="1"/>
        <v>ALZD</v>
      </c>
      <c r="M17" s="68">
        <f t="shared" si="2"/>
        <v>1</v>
      </c>
      <c r="N17" s="68">
        <f t="shared" si="3"/>
        <v>7</v>
      </c>
      <c r="O17" s="68" t="str">
        <f t="shared" si="4"/>
        <v>Home</v>
      </c>
      <c r="P17" s="68" t="str">
        <f t="shared" si="5"/>
        <v>ALZD1</v>
      </c>
      <c r="Q17" s="68" t="str">
        <f t="shared" si="6"/>
        <v>NRDN1</v>
      </c>
      <c r="R17" s="68">
        <f>INDEX(RankPoints!$B$4:$AK$19,2,MATCH(Results!$I17,RankPoints!$B$4:$AK$4,0))</f>
        <v>1545</v>
      </c>
      <c r="S17" s="68">
        <f>INDEX(RankPoints!$B$4:$AK$19,2,MATCH(Results!$J17,RankPoints!$B$4:$AK$4,0))</f>
        <v>1500</v>
      </c>
      <c r="T17" s="68">
        <f t="shared" si="7"/>
        <v>1</v>
      </c>
      <c r="U17" s="155">
        <f t="shared" si="8"/>
        <v>0</v>
      </c>
      <c r="V17" s="156">
        <f>1/(1+(10^($X17/'[1]Teams'!$F$3)))</f>
        <v>0.43559950975957873</v>
      </c>
      <c r="W17" s="157">
        <f>1/(1+(10^($Y17/'[1]Teams'!$F$3)))</f>
        <v>0.5644004902404213</v>
      </c>
      <c r="X17" s="68">
        <f t="shared" si="9"/>
        <v>45</v>
      </c>
      <c r="Y17" s="155">
        <f t="shared" si="10"/>
        <v>-45</v>
      </c>
      <c r="Z17" s="68">
        <f>ROUND($R17+(Teams!$H$2*($T17-$V17)),0)</f>
        <v>1563</v>
      </c>
      <c r="AA17" s="158">
        <f>ROUND($S17+(Teams!$H$2*($U17-$W17)),0)</f>
        <v>1482</v>
      </c>
    </row>
    <row r="18" spans="2:27" ht="12.75">
      <c r="B18" s="158">
        <v>1</v>
      </c>
      <c r="C18" s="216" t="s">
        <v>112</v>
      </c>
      <c r="D18" s="171">
        <v>17</v>
      </c>
      <c r="E18" s="175">
        <v>6</v>
      </c>
      <c r="F18" s="221" t="s">
        <v>119</v>
      </c>
      <c r="G18" s="151" t="str">
        <f>INDEX(Teams!$B$5:$H$45,MATCH(Results!$C18,Teams!$B$5:$B$45,0),3)</f>
        <v>George Litchko Stadium</v>
      </c>
      <c r="H18" s="151" t="str">
        <f>INDEX(Teams!$B$5:$H$45,MATCH(Results!$C18,Teams!$B$5:$B$45,0),5)</f>
        <v>Sequoia</v>
      </c>
      <c r="I18" s="152" t="str">
        <f>INDEX(Teams!$B$5:$H$45,MATCH(Results!$C18,Teams!$B$5:$B$45,0),6)</f>
        <v>FHST</v>
      </c>
      <c r="J18" s="152" t="str">
        <f>INDEX(Teams!$B$5:$H$45,MATCH(Results!$F18,Teams!$B$5:$B$45,0),6)</f>
        <v>NETT</v>
      </c>
      <c r="K18" s="69" t="str">
        <f t="shared" si="0"/>
        <v>FHSTNETT</v>
      </c>
      <c r="L18" s="68" t="str">
        <f t="shared" si="1"/>
        <v>FHST</v>
      </c>
      <c r="M18" s="68">
        <f t="shared" si="2"/>
        <v>1</v>
      </c>
      <c r="N18" s="68">
        <f t="shared" si="3"/>
        <v>11</v>
      </c>
      <c r="O18" s="68" t="str">
        <f t="shared" si="4"/>
        <v>Home</v>
      </c>
      <c r="P18" s="68" t="str">
        <f t="shared" si="5"/>
        <v>FHST1</v>
      </c>
      <c r="Q18" s="68" t="str">
        <f t="shared" si="6"/>
        <v>NETT1</v>
      </c>
      <c r="R18" s="68">
        <f>INDEX(RankPoints!$B$4:$AK$19,2,MATCH(Results!$I18,RankPoints!$B$4:$AK$4,0))</f>
        <v>1584</v>
      </c>
      <c r="S18" s="68" t="e">
        <f>INDEX(RankPoints!$B$4:$AK$19,2,MATCH(Results!$J18,RankPoints!$B$4:$AK$4,0))</f>
        <v>#N/A</v>
      </c>
      <c r="T18" s="68">
        <f t="shared" si="7"/>
        <v>1</v>
      </c>
      <c r="U18" s="155">
        <f t="shared" si="8"/>
        <v>0</v>
      </c>
      <c r="V18" s="156" t="e">
        <f>1/(1+(10^($X18/'[1]Teams'!$F$3)))</f>
        <v>#N/A</v>
      </c>
      <c r="W18" s="157" t="e">
        <f>1/(1+(10^($Y18/'[1]Teams'!$F$3)))</f>
        <v>#N/A</v>
      </c>
      <c r="X18" s="68" t="e">
        <f t="shared" si="9"/>
        <v>#N/A</v>
      </c>
      <c r="Y18" s="155" t="e">
        <f t="shared" si="10"/>
        <v>#N/A</v>
      </c>
      <c r="Z18" s="68" t="e">
        <f>ROUND($R18+(Teams!$H$2*($T18-$V18)),0)</f>
        <v>#N/A</v>
      </c>
      <c r="AA18" s="158" t="e">
        <f>ROUND($S18+(Teams!$H$2*($U18-$W18)),0)</f>
        <v>#N/A</v>
      </c>
    </row>
    <row r="19" spans="2:27" ht="12.75">
      <c r="B19" s="158">
        <v>1</v>
      </c>
      <c r="C19" s="216" t="s">
        <v>127</v>
      </c>
      <c r="D19" s="171">
        <v>19</v>
      </c>
      <c r="E19" s="175">
        <v>20</v>
      </c>
      <c r="F19" s="221" t="s">
        <v>152</v>
      </c>
      <c r="G19" s="151" t="str">
        <f>INDEX(Teams!$B$5:$H$45,MATCH(Results!$C19,Teams!$B$5:$B$45,0),3)</f>
        <v>Glenn Memorial Stadium</v>
      </c>
      <c r="H19" s="151" t="str">
        <f>INDEX(Teams!$B$5:$H$45,MATCH(Results!$C19,Teams!$B$5:$B$45,0),5)</f>
        <v>Woodlands</v>
      </c>
      <c r="I19" s="152" t="str">
        <f>INDEX(Teams!$B$5:$H$45,MATCH(Results!$C19,Teams!$B$5:$B$45,0),6)</f>
        <v>BUCK</v>
      </c>
      <c r="J19" s="152" t="str">
        <f>INDEX(Teams!$B$5:$H$45,MATCH(Results!$F19,Teams!$B$5:$B$45,0),6)</f>
        <v>WALT</v>
      </c>
      <c r="K19" s="69" t="str">
        <f t="shared" si="0"/>
        <v>BUCKWALT</v>
      </c>
      <c r="L19" s="68" t="str">
        <f t="shared" si="1"/>
        <v>WALT</v>
      </c>
      <c r="M19" s="68">
        <f t="shared" si="2"/>
        <v>1</v>
      </c>
      <c r="N19" s="68">
        <f t="shared" si="3"/>
        <v>1</v>
      </c>
      <c r="O19" s="68" t="str">
        <f t="shared" si="4"/>
        <v>Away</v>
      </c>
      <c r="P19" s="68" t="str">
        <f t="shared" si="5"/>
        <v>BUCK1</v>
      </c>
      <c r="Q19" s="68" t="str">
        <f t="shared" si="6"/>
        <v>WALT1</v>
      </c>
      <c r="R19" s="68" t="e">
        <f>INDEX(RankPoints!$B$4:$AK$19,$B19+1,MATCH(Results!$I19,RankPoints!$B$4:$AK$4,0))</f>
        <v>#N/A</v>
      </c>
      <c r="S19" s="68" t="e">
        <f>INDEX(RankPoints!$B$4:$AK$19,$B19+1,MATCH(Results!$J19,RankPoints!$B$4:$AK$4,0))</f>
        <v>#N/A</v>
      </c>
      <c r="T19" s="68">
        <f t="shared" si="7"/>
        <v>0</v>
      </c>
      <c r="U19" s="155">
        <f t="shared" si="8"/>
        <v>1</v>
      </c>
      <c r="V19" s="156" t="e">
        <f>1/(1+(10^($X19/'[1]Teams'!$F$3)))</f>
        <v>#N/A</v>
      </c>
      <c r="W19" s="157" t="e">
        <f>1/(1+(10^($Y19/'[1]Teams'!$F$3)))</f>
        <v>#N/A</v>
      </c>
      <c r="X19" s="68" t="e">
        <f t="shared" si="9"/>
        <v>#N/A</v>
      </c>
      <c r="Y19" s="155" t="e">
        <f t="shared" si="10"/>
        <v>#N/A</v>
      </c>
      <c r="Z19" s="68" t="e">
        <f>ROUND($R19+(Teams!$H$2*($T19-$V19)),0)</f>
        <v>#N/A</v>
      </c>
      <c r="AA19" s="158" t="e">
        <f>ROUND($S19+(Teams!$H$2*($U19-$W19)),0)</f>
        <v>#N/A</v>
      </c>
    </row>
    <row r="20" spans="2:27" ht="12.75">
      <c r="B20" s="158">
        <v>1</v>
      </c>
      <c r="C20" s="216" t="s">
        <v>78</v>
      </c>
      <c r="D20" s="171">
        <v>7</v>
      </c>
      <c r="E20" s="175">
        <v>10</v>
      </c>
      <c r="F20" s="221" t="s">
        <v>110</v>
      </c>
      <c r="G20" s="151" t="str">
        <f>INDEX(Teams!$B$5:$H$45,MATCH(Results!$C20,Teams!$B$5:$B$45,0),3)</f>
        <v>Red Plains Stadium</v>
      </c>
      <c r="H20" s="151" t="str">
        <f>INDEX(Teams!$B$5:$H$45,MATCH(Results!$C20,Teams!$B$5:$B$45,0),5)</f>
        <v>Woodlands</v>
      </c>
      <c r="I20" s="152" t="str">
        <f>INDEX(Teams!$B$5:$H$45,MATCH(Results!$C20,Teams!$B$5:$B$45,0),6)</f>
        <v>FRBB</v>
      </c>
      <c r="J20" s="152" t="str">
        <f>INDEX(Teams!$B$5:$H$45,MATCH(Results!$F20,Teams!$B$5:$B$45,0),6)</f>
        <v>UTCA</v>
      </c>
      <c r="K20" s="69" t="str">
        <f t="shared" si="0"/>
        <v>FRBBUTCA</v>
      </c>
      <c r="L20" s="68" t="str">
        <f t="shared" si="1"/>
        <v>UTCA</v>
      </c>
      <c r="M20" s="68">
        <f t="shared" si="2"/>
        <v>1</v>
      </c>
      <c r="N20" s="68">
        <f t="shared" si="3"/>
        <v>3</v>
      </c>
      <c r="O20" s="68" t="str">
        <f t="shared" si="4"/>
        <v>Away</v>
      </c>
      <c r="P20" s="68" t="str">
        <f t="shared" si="5"/>
        <v>FRBB1</v>
      </c>
      <c r="Q20" s="68" t="str">
        <f t="shared" si="6"/>
        <v>UTCA1</v>
      </c>
      <c r="R20" s="68">
        <f>INDEX(RankPoints!$B$4:$AK$19,$B20+1,MATCH(Results!$I20,RankPoints!$B$4:$AK$4,0))</f>
        <v>1500</v>
      </c>
      <c r="S20" s="68">
        <f>INDEX(RankPoints!$B$4:$AK$19,$B20+1,MATCH(Results!$J20,RankPoints!$B$4:$AK$4,0))</f>
        <v>1851</v>
      </c>
      <c r="T20" s="68">
        <f t="shared" si="7"/>
        <v>0</v>
      </c>
      <c r="U20" s="155">
        <f t="shared" si="8"/>
        <v>1</v>
      </c>
      <c r="V20" s="156">
        <f>1/(1+(10^($X20/'[1]Teams'!$F$3)))</f>
        <v>0.8829346041256821</v>
      </c>
      <c r="W20" s="157">
        <f>1/(1+(10^($Y20/'[1]Teams'!$F$3)))</f>
        <v>0.11706539587431784</v>
      </c>
      <c r="X20" s="68">
        <f t="shared" si="9"/>
        <v>-351</v>
      </c>
      <c r="Y20" s="155">
        <f t="shared" si="10"/>
        <v>351</v>
      </c>
      <c r="Z20" s="68">
        <f>ROUND($R20+(Teams!$H$2*($T20-$V20)),0)</f>
        <v>1472</v>
      </c>
      <c r="AA20" s="158">
        <f>ROUND($S20+(Teams!$H$2*($U20-$W20)),0)</f>
        <v>1879</v>
      </c>
    </row>
    <row r="21" spans="2:27" ht="12.75">
      <c r="B21" s="158">
        <v>1</v>
      </c>
      <c r="C21" s="216" t="s">
        <v>255</v>
      </c>
      <c r="D21" s="171">
        <v>16</v>
      </c>
      <c r="E21" s="175">
        <v>38</v>
      </c>
      <c r="F21" s="221" t="s">
        <v>125</v>
      </c>
      <c r="G21" s="151" t="str">
        <f>INDEX(Teams!$B$5:$H$45,MATCH(Results!$C21,Teams!$B$5:$B$45,0),3)</f>
        <v>The Hawks Nest</v>
      </c>
      <c r="H21" s="151" t="str">
        <f>INDEX(Teams!$B$5:$H$45,MATCH(Results!$C21,Teams!$B$5:$B$45,0),5)</f>
        <v>Woodlands</v>
      </c>
      <c r="I21" s="152" t="str">
        <f>INDEX(Teams!$B$5:$H$45,MATCH(Results!$C21,Teams!$B$5:$B$45,0),6)</f>
        <v>HUDS</v>
      </c>
      <c r="J21" s="152" t="str">
        <f>INDEX(Teams!$B$5:$H$45,MATCH(Results!$F21,Teams!$B$5:$B$45,0),6)</f>
        <v>JGZA</v>
      </c>
      <c r="K21" s="69" t="str">
        <f t="shared" si="0"/>
        <v>HUDSJGZA</v>
      </c>
      <c r="L21" s="68" t="str">
        <f t="shared" si="1"/>
        <v>JGZA</v>
      </c>
      <c r="M21" s="68">
        <f t="shared" si="2"/>
        <v>1</v>
      </c>
      <c r="N21" s="68">
        <f t="shared" si="3"/>
        <v>22</v>
      </c>
      <c r="O21" s="68" t="str">
        <f t="shared" si="4"/>
        <v>Away</v>
      </c>
      <c r="P21" s="68" t="str">
        <f t="shared" si="5"/>
        <v>HUDS1</v>
      </c>
      <c r="Q21" s="68" t="str">
        <f t="shared" si="6"/>
        <v>JGZA1</v>
      </c>
      <c r="R21" s="68" t="e">
        <f>INDEX(RankPoints!$B$4:$AK$19,$B21+1,MATCH(Results!$I21,RankPoints!$B$4:$AK$4,0))</f>
        <v>#N/A</v>
      </c>
      <c r="S21" s="68" t="e">
        <f>INDEX(RankPoints!$B$4:$AK$19,$B21+1,MATCH(Results!$J21,RankPoints!$B$4:$AK$4,0))</f>
        <v>#N/A</v>
      </c>
      <c r="T21" s="68">
        <f t="shared" si="7"/>
        <v>0</v>
      </c>
      <c r="U21" s="155">
        <f t="shared" si="8"/>
        <v>1</v>
      </c>
      <c r="V21" s="156" t="e">
        <f>1/(1+(10^($X21/'[1]Teams'!$F$3)))</f>
        <v>#N/A</v>
      </c>
      <c r="W21" s="157" t="e">
        <f>1/(1+(10^($Y21/'[1]Teams'!$F$3)))</f>
        <v>#N/A</v>
      </c>
      <c r="X21" s="68" t="e">
        <f t="shared" si="9"/>
        <v>#N/A</v>
      </c>
      <c r="Y21" s="155" t="e">
        <f t="shared" si="10"/>
        <v>#N/A</v>
      </c>
      <c r="Z21" s="68" t="e">
        <f>ROUND($R21+(Teams!$H$2*($T21-$V21)),0)</f>
        <v>#N/A</v>
      </c>
      <c r="AA21" s="158" t="e">
        <f>ROUND($S21+(Teams!$H$2*($U21-$W21)),0)</f>
        <v>#N/A</v>
      </c>
    </row>
    <row r="22" spans="2:27" ht="12.75">
      <c r="B22" s="158">
        <v>1</v>
      </c>
      <c r="C22" s="216" t="s">
        <v>158</v>
      </c>
      <c r="D22" s="171">
        <v>17</v>
      </c>
      <c r="E22" s="175">
        <v>20</v>
      </c>
      <c r="F22" s="221" t="s">
        <v>109</v>
      </c>
      <c r="G22" s="151" t="str">
        <f>INDEX(Teams!$B$5:$H$45,MATCH(Results!$C22,Teams!$B$5:$B$45,0),3)</f>
        <v>The Brown House</v>
      </c>
      <c r="H22" s="151" t="str">
        <f>INDEX(Teams!$B$5:$H$45,MATCH(Results!$C22,Teams!$B$5:$B$45,0),5)</f>
        <v>Woodlands</v>
      </c>
      <c r="I22" s="152" t="str">
        <f>INDEX(Teams!$B$5:$H$45,MATCH(Results!$C22,Teams!$B$5:$B$45,0),6)</f>
        <v>TOUF</v>
      </c>
      <c r="J22" s="152" t="str">
        <f>INDEX(Teams!$B$5:$H$45,MATCH(Results!$F22,Teams!$B$5:$B$45,0),6)</f>
        <v>ARKN</v>
      </c>
      <c r="K22" s="69" t="str">
        <f t="shared" si="0"/>
        <v>TOUFARKN</v>
      </c>
      <c r="L22" s="68" t="str">
        <f t="shared" si="1"/>
        <v>ARKN</v>
      </c>
      <c r="M22" s="68">
        <f t="shared" si="2"/>
        <v>1</v>
      </c>
      <c r="N22" s="68">
        <f t="shared" si="3"/>
        <v>3</v>
      </c>
      <c r="O22" s="68" t="str">
        <f t="shared" si="4"/>
        <v>Away</v>
      </c>
      <c r="P22" s="68" t="str">
        <f t="shared" si="5"/>
        <v>TOUF1</v>
      </c>
      <c r="Q22" s="68" t="str">
        <f t="shared" si="6"/>
        <v>ARKN1</v>
      </c>
      <c r="R22" s="68" t="e">
        <f>INDEX(RankPoints!$B$4:$AK$19,$B22+1,MATCH(Results!$I22,RankPoints!$B$4:$AK$4,0))</f>
        <v>#N/A</v>
      </c>
      <c r="S22" s="68">
        <f>INDEX(RankPoints!$B$4:$AK$19,$B22+1,MATCH(Results!$J22,RankPoints!$B$4:$AK$4,0))</f>
        <v>1798</v>
      </c>
      <c r="T22" s="68">
        <f t="shared" si="7"/>
        <v>0</v>
      </c>
      <c r="U22" s="155">
        <f t="shared" si="8"/>
        <v>1</v>
      </c>
      <c r="V22" s="156" t="e">
        <f>1/(1+(10^($X22/'[1]Teams'!$F$3)))</f>
        <v>#N/A</v>
      </c>
      <c r="W22" s="157" t="e">
        <f>1/(1+(10^($Y22/'[1]Teams'!$F$3)))</f>
        <v>#N/A</v>
      </c>
      <c r="X22" s="68" t="e">
        <f t="shared" si="9"/>
        <v>#N/A</v>
      </c>
      <c r="Y22" s="155" t="e">
        <f t="shared" si="10"/>
        <v>#N/A</v>
      </c>
      <c r="Z22" s="68" t="e">
        <f>ROUND($R22+(Teams!$H$2*($T22-$V22)),0)</f>
        <v>#N/A</v>
      </c>
      <c r="AA22" s="158" t="e">
        <f>ROUND($S22+(Teams!$H$2*($U22-$W22)),0)</f>
        <v>#N/A</v>
      </c>
    </row>
    <row r="23" spans="2:27" ht="12.75">
      <c r="B23" s="158">
        <v>2</v>
      </c>
      <c r="C23" s="216" t="s">
        <v>271</v>
      </c>
      <c r="D23" s="171">
        <v>12</v>
      </c>
      <c r="E23" s="175">
        <v>19</v>
      </c>
      <c r="F23" s="221" t="s">
        <v>76</v>
      </c>
      <c r="G23" s="151" t="str">
        <f>INDEX(Teams!$B$5:$H$45,MATCH(Results!$C23,Teams!$B$5:$B$45,0),3)</f>
        <v>Saunders Klijde Stadium</v>
      </c>
      <c r="H23" s="151" t="str">
        <f>INDEX(Teams!$B$5:$H$45,MATCH(Results!$C23,Teams!$B$5:$B$45,0),5)</f>
        <v>Big Eight</v>
      </c>
      <c r="I23" s="152" t="str">
        <f>INDEX(Teams!$B$5:$H$45,MATCH(Results!$C23,Teams!$B$5:$B$45,0),6)</f>
        <v>WAA</v>
      </c>
      <c r="J23" s="152" t="str">
        <f>INDEX(Teams!$B$5:$H$45,MATCH(Results!$F23,Teams!$B$5:$B$45,0),6)</f>
        <v>SCTT</v>
      </c>
      <c r="K23" s="69" t="str">
        <f t="shared" si="0"/>
        <v>WAASCTT</v>
      </c>
      <c r="L23" s="68" t="str">
        <f t="shared" si="1"/>
        <v>SCTT</v>
      </c>
      <c r="M23" s="68">
        <f t="shared" si="2"/>
        <v>1</v>
      </c>
      <c r="N23" s="68">
        <f t="shared" si="3"/>
        <v>7</v>
      </c>
      <c r="O23" s="68" t="str">
        <f t="shared" si="4"/>
        <v>Away</v>
      </c>
      <c r="P23" s="68" t="str">
        <f t="shared" si="5"/>
        <v>WAA2</v>
      </c>
      <c r="Q23" s="68" t="str">
        <f t="shared" si="6"/>
        <v>SCTT2</v>
      </c>
      <c r="R23" s="68" t="e">
        <f>INDEX(RankPoints!$B$4:$AK$19,$B23+1,MATCH(Results!$I23,RankPoints!$B$4:$AK$4,0))</f>
        <v>#N/A</v>
      </c>
      <c r="S23" s="68">
        <f>INDEX(RankPoints!$B$4:$AK$19,$B23+1,MATCH(Results!$J23,RankPoints!$B$4:$AK$4,0))</f>
        <v>1516</v>
      </c>
      <c r="T23" s="68">
        <f t="shared" si="7"/>
        <v>0</v>
      </c>
      <c r="U23" s="155">
        <f t="shared" si="8"/>
        <v>1</v>
      </c>
      <c r="V23" s="156" t="e">
        <f>1/(1+(10^($X23/'[1]Teams'!$F$3)))</f>
        <v>#N/A</v>
      </c>
      <c r="W23" s="157" t="e">
        <f>1/(1+(10^($Y23/'[1]Teams'!$F$3)))</f>
        <v>#N/A</v>
      </c>
      <c r="X23" s="68" t="e">
        <f t="shared" si="9"/>
        <v>#N/A</v>
      </c>
      <c r="Y23" s="155" t="e">
        <f t="shared" si="10"/>
        <v>#N/A</v>
      </c>
      <c r="Z23" s="68" t="e">
        <f>ROUND($R23+(Teams!$H$2*($T23-$V23)),0)</f>
        <v>#N/A</v>
      </c>
      <c r="AA23" s="158" t="e">
        <f>ROUND($S23+(Teams!$H$2*($U23-$W23)),0)</f>
        <v>#N/A</v>
      </c>
    </row>
    <row r="24" spans="2:27" ht="12.75">
      <c r="B24" s="158">
        <v>2</v>
      </c>
      <c r="C24" s="216" t="s">
        <v>124</v>
      </c>
      <c r="D24" s="171">
        <v>26</v>
      </c>
      <c r="E24" s="175">
        <v>3</v>
      </c>
      <c r="F24" s="221" t="s">
        <v>77</v>
      </c>
      <c r="G24" s="151" t="str">
        <f>INDEX(Teams!$B$5:$H$45,MATCH(Results!$C24,Teams!$B$5:$B$45,0),3)</f>
        <v>Bear Stadium</v>
      </c>
      <c r="H24" s="151" t="str">
        <f>INDEX(Teams!$B$5:$H$45,MATCH(Results!$C24,Teams!$B$5:$B$45,0),5)</f>
        <v>Big Eight</v>
      </c>
      <c r="I24" s="152" t="str">
        <f>INDEX(Teams!$B$5:$H$45,MATCH(Results!$C24,Teams!$B$5:$B$45,0),6)</f>
        <v>TIMC</v>
      </c>
      <c r="J24" s="152" t="str">
        <f>INDEX(Teams!$B$5:$H$45,MATCH(Results!$F24,Teams!$B$5:$B$45,0),6)</f>
        <v>SAUG</v>
      </c>
      <c r="K24" s="69" t="str">
        <f t="shared" si="0"/>
        <v>TIMCSAUG</v>
      </c>
      <c r="L24" s="68" t="str">
        <f t="shared" si="1"/>
        <v>TIMC</v>
      </c>
      <c r="M24" s="68">
        <f t="shared" si="2"/>
        <v>1</v>
      </c>
      <c r="N24" s="68">
        <f t="shared" si="3"/>
        <v>23</v>
      </c>
      <c r="O24" s="68" t="str">
        <f t="shared" si="4"/>
        <v>Home</v>
      </c>
      <c r="P24" s="68" t="str">
        <f t="shared" si="5"/>
        <v>TIMC2</v>
      </c>
      <c r="Q24" s="68" t="str">
        <f t="shared" si="6"/>
        <v>SAUG2</v>
      </c>
      <c r="R24" s="68" t="e">
        <f>INDEX(RankPoints!$B$4:$AK$19,$B24+1,MATCH(Results!$I24,RankPoints!$B$4:$AK$4,0))</f>
        <v>#N/A</v>
      </c>
      <c r="S24" s="68">
        <f>INDEX(RankPoints!$B$4:$AK$19,$B24+1,MATCH(Results!$J24,RankPoints!$B$4:$AK$4,0))</f>
        <v>0</v>
      </c>
      <c r="T24" s="68">
        <f t="shared" si="7"/>
        <v>1</v>
      </c>
      <c r="U24" s="155">
        <f t="shared" si="8"/>
        <v>0</v>
      </c>
      <c r="V24" s="156" t="e">
        <f>1/(1+(10^($X24/'[1]Teams'!$F$3)))</f>
        <v>#N/A</v>
      </c>
      <c r="W24" s="157" t="e">
        <f>1/(1+(10^($Y24/'[1]Teams'!$F$3)))</f>
        <v>#N/A</v>
      </c>
      <c r="X24" s="68" t="e">
        <f t="shared" si="9"/>
        <v>#N/A</v>
      </c>
      <c r="Y24" s="155" t="e">
        <f t="shared" si="10"/>
        <v>#N/A</v>
      </c>
      <c r="Z24" s="68" t="e">
        <f>ROUND($R24+(Teams!$H$2*($T24-$V24)),0)</f>
        <v>#N/A</v>
      </c>
      <c r="AA24" s="158" t="e">
        <f>ROUND($S24+(Teams!$H$2*($U24-$W24)),0)</f>
        <v>#N/A</v>
      </c>
    </row>
    <row r="25" spans="2:27" ht="12.75">
      <c r="B25" s="158">
        <v>2</v>
      </c>
      <c r="C25" s="216" t="s">
        <v>154</v>
      </c>
      <c r="D25" s="171">
        <v>16</v>
      </c>
      <c r="E25" s="175">
        <v>10</v>
      </c>
      <c r="F25" s="221" t="s">
        <v>148</v>
      </c>
      <c r="G25" s="151" t="str">
        <f>INDEX(Teams!$B$5:$H$45,MATCH(Results!$C25,Teams!$B$5:$B$45,0),3)</f>
        <v>Nobel Stadium</v>
      </c>
      <c r="H25" s="151" t="str">
        <f>INDEX(Teams!$B$5:$H$45,MATCH(Results!$C25,Teams!$B$5:$B$45,0),5)</f>
        <v>Big Eight</v>
      </c>
      <c r="I25" s="152" t="str">
        <f>INDEX(Teams!$B$5:$H$45,MATCH(Results!$C25,Teams!$B$5:$B$45,0),6)</f>
        <v>NOBL</v>
      </c>
      <c r="J25" s="152" t="str">
        <f>INDEX(Teams!$B$5:$H$45,MATCH(Results!$F25,Teams!$B$5:$B$45,0),6)</f>
        <v>RELK</v>
      </c>
      <c r="K25" s="69" t="str">
        <f t="shared" si="0"/>
        <v>NOBLRELK</v>
      </c>
      <c r="L25" s="68" t="str">
        <f t="shared" si="1"/>
        <v>NOBL</v>
      </c>
      <c r="M25" s="68">
        <f t="shared" si="2"/>
        <v>1</v>
      </c>
      <c r="N25" s="68">
        <f t="shared" si="3"/>
        <v>6</v>
      </c>
      <c r="O25" s="68" t="str">
        <f t="shared" si="4"/>
        <v>Home</v>
      </c>
      <c r="P25" s="68" t="str">
        <f t="shared" si="5"/>
        <v>NOBL2</v>
      </c>
      <c r="Q25" s="68" t="str">
        <f t="shared" si="6"/>
        <v>RELK2</v>
      </c>
      <c r="R25" s="68" t="e">
        <f>INDEX(RankPoints!$B$4:$AK$19,$B25+1,MATCH(Results!$I25,RankPoints!$B$4:$AK$4,0))</f>
        <v>#N/A</v>
      </c>
      <c r="S25" s="68" t="e">
        <f>INDEX(RankPoints!$B$4:$AK$19,$B25+1,MATCH(Results!$J25,RankPoints!$B$4:$AK$4,0))</f>
        <v>#N/A</v>
      </c>
      <c r="T25" s="68">
        <f t="shared" si="7"/>
        <v>1</v>
      </c>
      <c r="U25" s="155">
        <f t="shared" si="8"/>
        <v>0</v>
      </c>
      <c r="V25" s="156" t="e">
        <f>1/(1+(10^($X25/'[1]Teams'!$F$3)))</f>
        <v>#N/A</v>
      </c>
      <c r="W25" s="157" t="e">
        <f>1/(1+(10^($Y25/'[1]Teams'!$F$3)))</f>
        <v>#N/A</v>
      </c>
      <c r="X25" s="68" t="e">
        <f t="shared" si="9"/>
        <v>#N/A</v>
      </c>
      <c r="Y25" s="155" t="e">
        <f t="shared" si="10"/>
        <v>#N/A</v>
      </c>
      <c r="Z25" s="68" t="e">
        <f>ROUND($R25+(Teams!$H$2*($T25-$V25)),0)</f>
        <v>#N/A</v>
      </c>
      <c r="AA25" s="158" t="e">
        <f>ROUND($S25+(Teams!$H$2*($U25-$W25)),0)</f>
        <v>#N/A</v>
      </c>
    </row>
    <row r="26" spans="2:27" ht="12.75">
      <c r="B26" s="158">
        <v>2</v>
      </c>
      <c r="C26" s="216" t="s">
        <v>144</v>
      </c>
      <c r="D26" s="171">
        <v>6</v>
      </c>
      <c r="E26" s="175">
        <v>23</v>
      </c>
      <c r="F26" s="221" t="s">
        <v>270</v>
      </c>
      <c r="G26" s="151" t="str">
        <f>INDEX(Teams!$B$5:$H$45,MATCH(Results!$C26,Teams!$B$5:$B$45,0),3)</f>
        <v>Cradence Stadium</v>
      </c>
      <c r="H26" s="151" t="str">
        <f>INDEX(Teams!$B$5:$H$45,MATCH(Results!$C26,Teams!$B$5:$B$45,0),5)</f>
        <v>Big Eight</v>
      </c>
      <c r="I26" s="152" t="str">
        <f>INDEX(Teams!$B$5:$H$45,MATCH(Results!$C26,Teams!$B$5:$B$45,0),6)</f>
        <v>ARLN</v>
      </c>
      <c r="J26" s="152" t="str">
        <f>INDEX(Teams!$B$5:$H$45,MATCH(Results!$F26,Teams!$B$5:$B$45,0),6)</f>
        <v>BUGN</v>
      </c>
      <c r="K26" s="69" t="str">
        <f t="shared" si="0"/>
        <v>ARLNBUGN</v>
      </c>
      <c r="L26" s="68" t="str">
        <f t="shared" si="1"/>
        <v>BUGN</v>
      </c>
      <c r="M26" s="68">
        <f t="shared" si="2"/>
        <v>1</v>
      </c>
      <c r="N26" s="68">
        <f t="shared" si="3"/>
        <v>17</v>
      </c>
      <c r="O26" s="68" t="str">
        <f t="shared" si="4"/>
        <v>Away</v>
      </c>
      <c r="P26" s="68" t="str">
        <f t="shared" si="5"/>
        <v>ARLN2</v>
      </c>
      <c r="Q26" s="68" t="str">
        <f t="shared" si="6"/>
        <v>BUGN2</v>
      </c>
      <c r="R26" s="68" t="e">
        <f>INDEX(RankPoints!$B$4:$AK$19,$B26+1,MATCH(Results!$I26,RankPoints!$B$4:$AK$4,0))</f>
        <v>#N/A</v>
      </c>
      <c r="S26" s="68">
        <f>INDEX(RankPoints!$B$4:$AK$19,$B26+1,MATCH(Results!$J26,RankPoints!$B$4:$AK$4,0))</f>
        <v>1651</v>
      </c>
      <c r="T26" s="68">
        <f t="shared" si="7"/>
        <v>0</v>
      </c>
      <c r="U26" s="155">
        <f t="shared" si="8"/>
        <v>1</v>
      </c>
      <c r="V26" s="156" t="e">
        <f>1/(1+(10^($X26/'[1]Teams'!$F$3)))</f>
        <v>#N/A</v>
      </c>
      <c r="W26" s="157" t="e">
        <f>1/(1+(10^($Y26/'[1]Teams'!$F$3)))</f>
        <v>#N/A</v>
      </c>
      <c r="X26" s="68" t="e">
        <f t="shared" si="9"/>
        <v>#N/A</v>
      </c>
      <c r="Y26" s="155" t="e">
        <f t="shared" si="10"/>
        <v>#N/A</v>
      </c>
      <c r="Z26" s="68" t="e">
        <f>ROUND($R26+(Teams!$H$2*($T26-$V26)),0)</f>
        <v>#N/A</v>
      </c>
      <c r="AA26" s="158" t="e">
        <f>ROUND($S26+(Teams!$H$2*($U26-$W26)),0)</f>
        <v>#N/A</v>
      </c>
    </row>
    <row r="27" spans="2:27" ht="12.75">
      <c r="B27" s="158">
        <v>2</v>
      </c>
      <c r="C27" s="216" t="s">
        <v>248</v>
      </c>
      <c r="D27" s="171">
        <v>17</v>
      </c>
      <c r="E27" s="175">
        <v>10</v>
      </c>
      <c r="F27" s="221" t="s">
        <v>151</v>
      </c>
      <c r="G27" s="151" t="str">
        <f>INDEX(Teams!$B$5:$H$45,MATCH(Results!$C27,Teams!$B$5:$B$45,0),3)</f>
        <v>Dorrel Stadium</v>
      </c>
      <c r="H27" s="151" t="str">
        <f>INDEX(Teams!$B$5:$H$45,MATCH(Results!$C27,Teams!$B$5:$B$45,0),5)</f>
        <v>Horizon</v>
      </c>
      <c r="I27" s="152" t="str">
        <f>INDEX(Teams!$B$5:$H$45,MATCH(Results!$C27,Teams!$B$5:$B$45,0),6)</f>
        <v>COLD</v>
      </c>
      <c r="J27" s="152" t="str">
        <f>INDEX(Teams!$B$5:$H$45,MATCH(Results!$F27,Teams!$B$5:$B$45,0),6)</f>
        <v>OLYM</v>
      </c>
      <c r="K27" s="69" t="str">
        <f t="shared" si="0"/>
        <v>COLDOLYM</v>
      </c>
      <c r="L27" s="68" t="str">
        <f t="shared" si="1"/>
        <v>COLD</v>
      </c>
      <c r="M27" s="68">
        <f t="shared" si="2"/>
        <v>1</v>
      </c>
      <c r="N27" s="68">
        <f t="shared" si="3"/>
        <v>7</v>
      </c>
      <c r="O27" s="68" t="str">
        <f t="shared" si="4"/>
        <v>Home</v>
      </c>
      <c r="P27" s="68" t="str">
        <f t="shared" si="5"/>
        <v>COLD2</v>
      </c>
      <c r="Q27" s="68" t="str">
        <f t="shared" si="6"/>
        <v>OLYM2</v>
      </c>
      <c r="R27" s="68">
        <f>INDEX(RankPoints!$B$4:$AK$19,$B27+1,MATCH(Results!$I27,RankPoints!$B$4:$AK$4,0))</f>
        <v>1807</v>
      </c>
      <c r="S27" s="68" t="e">
        <f>INDEX(RankPoints!$B$4:$AK$19,$B27+1,MATCH(Results!$J27,RankPoints!$B$4:$AK$4,0))</f>
        <v>#N/A</v>
      </c>
      <c r="T27" s="68">
        <f t="shared" si="7"/>
        <v>1</v>
      </c>
      <c r="U27" s="155">
        <f t="shared" si="8"/>
        <v>0</v>
      </c>
      <c r="V27" s="156" t="e">
        <f>1/(1+(10^($X27/'[1]Teams'!$F$3)))</f>
        <v>#N/A</v>
      </c>
      <c r="W27" s="157" t="e">
        <f>1/(1+(10^($Y27/'[1]Teams'!$F$3)))</f>
        <v>#N/A</v>
      </c>
      <c r="X27" s="68" t="e">
        <f t="shared" si="9"/>
        <v>#N/A</v>
      </c>
      <c r="Y27" s="155" t="e">
        <f t="shared" si="10"/>
        <v>#N/A</v>
      </c>
      <c r="Z27" s="68" t="e">
        <f>ROUND($R27+(Teams!$H$2*($T27-$V27)),0)</f>
        <v>#N/A</v>
      </c>
      <c r="AA27" s="158" t="e">
        <f>ROUND($S27+(Teams!$H$2*($U27-$W27)),0)</f>
        <v>#N/A</v>
      </c>
    </row>
    <row r="28" spans="2:27" ht="12.75">
      <c r="B28" s="158">
        <v>2</v>
      </c>
      <c r="C28" s="216" t="s">
        <v>149</v>
      </c>
      <c r="D28" s="171">
        <v>26</v>
      </c>
      <c r="E28" s="175">
        <v>0</v>
      </c>
      <c r="F28" s="221" t="s">
        <v>21</v>
      </c>
      <c r="G28" s="151" t="str">
        <f>INDEX(Teams!$B$5:$H$45,MATCH(Results!$C28,Teams!$B$5:$B$45,0),3)</f>
        <v>The Field of Industry</v>
      </c>
      <c r="H28" s="151" t="str">
        <f>INDEX(Teams!$B$5:$H$45,MATCH(Results!$C28,Teams!$B$5:$B$45,0),5)</f>
        <v>Horizon</v>
      </c>
      <c r="I28" s="152" t="str">
        <f>INDEX(Teams!$B$5:$H$45,MATCH(Results!$C28,Teams!$B$5:$B$45,0),6)</f>
        <v>USPN</v>
      </c>
      <c r="J28" s="152" t="str">
        <f>INDEX(Teams!$B$5:$H$45,MATCH(Results!$F28,Teams!$B$5:$B$45,0),6)</f>
        <v>STON</v>
      </c>
      <c r="K28" s="69" t="str">
        <f t="shared" si="0"/>
        <v>USPNSTON</v>
      </c>
      <c r="L28" s="68" t="str">
        <f t="shared" si="1"/>
        <v>USPN</v>
      </c>
      <c r="M28" s="68">
        <f t="shared" si="2"/>
        <v>1</v>
      </c>
      <c r="N28" s="68">
        <f t="shared" si="3"/>
        <v>26</v>
      </c>
      <c r="O28" s="68" t="str">
        <f t="shared" si="4"/>
        <v>Home</v>
      </c>
      <c r="P28" s="68" t="str">
        <f t="shared" si="5"/>
        <v>USPN2</v>
      </c>
      <c r="Q28" s="68" t="str">
        <f t="shared" si="6"/>
        <v>STON2</v>
      </c>
      <c r="R28" s="68" t="e">
        <f>INDEX(RankPoints!$B$4:$AK$19,$B28+1,MATCH(Results!$I28,RankPoints!$B$4:$AK$4,0))</f>
        <v>#N/A</v>
      </c>
      <c r="S28" s="68">
        <f>INDEX(RankPoints!$B$4:$AK$19,$B28+1,MATCH(Results!$J28,RankPoints!$B$4:$AK$4,0))</f>
        <v>1380</v>
      </c>
      <c r="T28" s="68">
        <f t="shared" si="7"/>
        <v>1</v>
      </c>
      <c r="U28" s="155">
        <f t="shared" si="8"/>
        <v>0</v>
      </c>
      <c r="V28" s="156" t="e">
        <f>1/(1+(10^($X28/'[1]Teams'!$F$3)))</f>
        <v>#N/A</v>
      </c>
      <c r="W28" s="157" t="e">
        <f>1/(1+(10^($Y28/'[1]Teams'!$F$3)))</f>
        <v>#N/A</v>
      </c>
      <c r="X28" s="68" t="e">
        <f t="shared" si="9"/>
        <v>#N/A</v>
      </c>
      <c r="Y28" s="155" t="e">
        <f t="shared" si="10"/>
        <v>#N/A</v>
      </c>
      <c r="Z28" s="68" t="e">
        <f>ROUND($R28+(Teams!$H$2*($T28-$V28)),0)</f>
        <v>#N/A</v>
      </c>
      <c r="AA28" s="158" t="e">
        <f>ROUND($S28+(Teams!$H$2*($U28-$W28)),0)</f>
        <v>#N/A</v>
      </c>
    </row>
    <row r="29" spans="2:27" ht="12.75">
      <c r="B29" s="158">
        <v>2</v>
      </c>
      <c r="C29" s="216" t="s">
        <v>157</v>
      </c>
      <c r="D29" s="171">
        <v>26</v>
      </c>
      <c r="E29" s="175">
        <v>23</v>
      </c>
      <c r="F29" s="221" t="s">
        <v>153</v>
      </c>
      <c r="G29" s="151" t="str">
        <f>INDEX(Teams!$B$5:$H$45,MATCH(Results!$C29,Teams!$B$5:$B$45,0),3)</f>
        <v>Badger Stadium</v>
      </c>
      <c r="H29" s="151" t="str">
        <f>INDEX(Teams!$B$5:$H$45,MATCH(Results!$C29,Teams!$B$5:$B$45,0),5)</f>
        <v>Horizon</v>
      </c>
      <c r="I29" s="152" t="str">
        <f>INDEX(Teams!$B$5:$H$45,MATCH(Results!$C29,Teams!$B$5:$B$45,0),6)</f>
        <v>WIEN</v>
      </c>
      <c r="J29" s="152" t="str">
        <f>INDEX(Teams!$B$5:$H$45,MATCH(Results!$F29,Teams!$B$5:$B$45,0),6)</f>
        <v>RSTU</v>
      </c>
      <c r="K29" s="69" t="str">
        <f t="shared" si="0"/>
        <v>WIENRSTU</v>
      </c>
      <c r="L29" s="68" t="str">
        <f t="shared" si="1"/>
        <v>WIEN</v>
      </c>
      <c r="M29" s="68">
        <f t="shared" si="2"/>
        <v>1</v>
      </c>
      <c r="N29" s="68">
        <f t="shared" si="3"/>
        <v>3</v>
      </c>
      <c r="O29" s="68" t="str">
        <f t="shared" si="4"/>
        <v>Home</v>
      </c>
      <c r="P29" s="68" t="str">
        <f t="shared" si="5"/>
        <v>WIEN2</v>
      </c>
      <c r="Q29" s="68" t="str">
        <f t="shared" si="6"/>
        <v>RSTU2</v>
      </c>
      <c r="R29" s="68" t="e">
        <f>INDEX(RankPoints!$B$4:$AK$19,$B29+1,MATCH(Results!$I29,RankPoints!$B$4:$AK$4,0))</f>
        <v>#N/A</v>
      </c>
      <c r="S29" s="68" t="e">
        <f>INDEX(RankPoints!$B$4:$AK$19,$B29+1,MATCH(Results!$J29,RankPoints!$B$4:$AK$4,0))</f>
        <v>#N/A</v>
      </c>
      <c r="T29" s="68">
        <f t="shared" si="7"/>
        <v>1</v>
      </c>
      <c r="U29" s="155">
        <f t="shared" si="8"/>
        <v>0</v>
      </c>
      <c r="V29" s="156" t="e">
        <f>1/(1+(10^($X29/'[1]Teams'!$F$3)))</f>
        <v>#N/A</v>
      </c>
      <c r="W29" s="157" t="e">
        <f>1/(1+(10^($Y29/'[1]Teams'!$F$3)))</f>
        <v>#N/A</v>
      </c>
      <c r="X29" s="68" t="e">
        <f t="shared" si="9"/>
        <v>#N/A</v>
      </c>
      <c r="Y29" s="155" t="e">
        <f t="shared" si="10"/>
        <v>#N/A</v>
      </c>
      <c r="Z29" s="68" t="e">
        <f>ROUND($R29+(Teams!$H$2*($T29-$V29)),0)</f>
        <v>#N/A</v>
      </c>
      <c r="AA29" s="158" t="e">
        <f>ROUND($S29+(Teams!$H$2*($U29-$W29)),0)</f>
        <v>#N/A</v>
      </c>
    </row>
    <row r="30" spans="2:27" ht="12.75">
      <c r="B30" s="158">
        <v>2</v>
      </c>
      <c r="C30" s="216" t="s">
        <v>145</v>
      </c>
      <c r="D30" s="171">
        <v>20</v>
      </c>
      <c r="E30" s="175">
        <v>23</v>
      </c>
      <c r="F30" s="221" t="s">
        <v>20</v>
      </c>
      <c r="G30" s="151" t="str">
        <f>INDEX(Teams!$B$5:$H$45,MATCH(Results!$C30,Teams!$B$5:$B$45,0),3)</f>
        <v>Indana Municipal Field</v>
      </c>
      <c r="H30" s="151" t="str">
        <f>INDEX(Teams!$B$5:$H$45,MATCH(Results!$C30,Teams!$B$5:$B$45,0),5)</f>
        <v>Horizon</v>
      </c>
      <c r="I30" s="152" t="str">
        <f>INDEX(Teams!$B$5:$H$45,MATCH(Results!$C30,Teams!$B$5:$B$45,0),6)</f>
        <v>INDN</v>
      </c>
      <c r="J30" s="152" t="str">
        <f>INDEX(Teams!$B$5:$H$45,MATCH(Results!$F30,Teams!$B$5:$B$45,0),6)</f>
        <v>RCU</v>
      </c>
      <c r="K30" s="69" t="str">
        <f t="shared" si="0"/>
        <v>INDNRCU</v>
      </c>
      <c r="L30" s="68" t="str">
        <f t="shared" si="1"/>
        <v>RCU</v>
      </c>
      <c r="M30" s="68">
        <f t="shared" si="2"/>
        <v>1</v>
      </c>
      <c r="N30" s="68">
        <f t="shared" si="3"/>
        <v>3</v>
      </c>
      <c r="O30" s="68" t="str">
        <f t="shared" si="4"/>
        <v>Away</v>
      </c>
      <c r="P30" s="68" t="str">
        <f t="shared" si="5"/>
        <v>INDN2</v>
      </c>
      <c r="Q30" s="68" t="str">
        <f t="shared" si="6"/>
        <v>RCU2</v>
      </c>
      <c r="R30" s="68" t="e">
        <f>INDEX(RankPoints!$B$4:$AK$19,$B30+1,MATCH(Results!$I30,RankPoints!$B$4:$AK$4,0))</f>
        <v>#N/A</v>
      </c>
      <c r="S30" s="68">
        <f>INDEX(RankPoints!$B$4:$AK$19,$B30+1,MATCH(Results!$J30,RankPoints!$B$4:$AK$4,0))</f>
        <v>1650</v>
      </c>
      <c r="T30" s="68">
        <f t="shared" si="7"/>
        <v>0</v>
      </c>
      <c r="U30" s="155">
        <f t="shared" si="8"/>
        <v>1</v>
      </c>
      <c r="V30" s="156" t="e">
        <f>1/(1+(10^($X30/'[1]Teams'!$F$3)))</f>
        <v>#N/A</v>
      </c>
      <c r="W30" s="157" t="e">
        <f>1/(1+(10^($Y30/'[1]Teams'!$F$3)))</f>
        <v>#N/A</v>
      </c>
      <c r="X30" s="68" t="e">
        <f t="shared" si="9"/>
        <v>#N/A</v>
      </c>
      <c r="Y30" s="155" t="e">
        <f t="shared" si="10"/>
        <v>#N/A</v>
      </c>
      <c r="Z30" s="68" t="e">
        <f>ROUND($R30+(Teams!$H$2*($T30-$V30)),0)</f>
        <v>#N/A</v>
      </c>
      <c r="AA30" s="158" t="e">
        <f>ROUND($S30+(Teams!$H$2*($U30-$W30)),0)</f>
        <v>#N/A</v>
      </c>
    </row>
    <row r="31" spans="2:27" ht="12.75">
      <c r="B31" s="158">
        <v>2</v>
      </c>
      <c r="C31" s="216" t="s">
        <v>121</v>
      </c>
      <c r="D31" s="171">
        <v>30</v>
      </c>
      <c r="E31" s="175">
        <v>13</v>
      </c>
      <c r="F31" s="221" t="s">
        <v>251</v>
      </c>
      <c r="G31" s="151" t="str">
        <f>INDEX(Teams!$B$5:$H$45,MATCH(Results!$C31,Teams!$B$5:$B$45,0),3)</f>
        <v>P. K. Morgan &amp; Sons Field</v>
      </c>
      <c r="H31" s="151" t="str">
        <f>INDEX(Teams!$B$5:$H$45,MATCH(Results!$C31,Teams!$B$5:$B$45,0),5)</f>
        <v>Mineral</v>
      </c>
      <c r="I31" s="152" t="str">
        <f>INDEX(Teams!$B$5:$H$45,MATCH(Results!$C31,Teams!$B$5:$B$45,0),6)</f>
        <v>CRGA</v>
      </c>
      <c r="J31" s="152" t="str">
        <f>INDEX(Teams!$B$5:$H$45,MATCH(Results!$F31,Teams!$B$5:$B$45,0),6)</f>
        <v>HRLP</v>
      </c>
      <c r="K31" s="69" t="str">
        <f t="shared" si="0"/>
        <v>CRGAHRLP</v>
      </c>
      <c r="L31" s="68" t="str">
        <f t="shared" si="1"/>
        <v>CRGA</v>
      </c>
      <c r="M31" s="68">
        <f t="shared" si="2"/>
        <v>1</v>
      </c>
      <c r="N31" s="68">
        <f t="shared" si="3"/>
        <v>17</v>
      </c>
      <c r="O31" s="68" t="str">
        <f t="shared" si="4"/>
        <v>Home</v>
      </c>
      <c r="P31" s="68" t="str">
        <f t="shared" si="5"/>
        <v>CRGA2</v>
      </c>
      <c r="Q31" s="68" t="str">
        <f t="shared" si="6"/>
        <v>HRLP2</v>
      </c>
      <c r="R31" s="68" t="e">
        <f>INDEX(RankPoints!$B$4:$AK$19,$B31+1,MATCH(Results!$I31,RankPoints!$B$4:$AK$4,0))</f>
        <v>#N/A</v>
      </c>
      <c r="S31" s="68" t="e">
        <f>INDEX(RankPoints!$B$4:$AK$19,$B31+1,MATCH(Results!$J31,RankPoints!$B$4:$AK$4,0))</f>
        <v>#N/A</v>
      </c>
      <c r="T31" s="68">
        <f t="shared" si="7"/>
        <v>1</v>
      </c>
      <c r="U31" s="155">
        <f t="shared" si="8"/>
        <v>0</v>
      </c>
      <c r="V31" s="156" t="e">
        <f>1/(1+(10^($X31/'[1]Teams'!$F$3)))</f>
        <v>#N/A</v>
      </c>
      <c r="W31" s="157" t="e">
        <f>1/(1+(10^($Y31/'[1]Teams'!$F$3)))</f>
        <v>#N/A</v>
      </c>
      <c r="X31" s="68" t="e">
        <f t="shared" si="9"/>
        <v>#N/A</v>
      </c>
      <c r="Y31" s="155" t="e">
        <f t="shared" si="10"/>
        <v>#N/A</v>
      </c>
      <c r="Z31" s="68" t="e">
        <f>ROUND($R31+(Teams!$H$2*($T31-$V31)),0)</f>
        <v>#N/A</v>
      </c>
      <c r="AA31" s="158" t="e">
        <f>ROUND($S31+(Teams!$H$2*($U31-$W31)),0)</f>
        <v>#N/A</v>
      </c>
    </row>
    <row r="32" spans="2:27" ht="12.75">
      <c r="B32" s="158">
        <v>2</v>
      </c>
      <c r="C32" s="216" t="s">
        <v>146</v>
      </c>
      <c r="D32" s="171">
        <v>14</v>
      </c>
      <c r="E32" s="175">
        <v>20</v>
      </c>
      <c r="F32" s="221" t="s">
        <v>266</v>
      </c>
      <c r="G32" s="151" t="str">
        <f>INDEX(Teams!$B$5:$H$45,MATCH(Results!$C32,Teams!$B$5:$B$45,0),3)</f>
        <v>Bryan-Hall Stadium</v>
      </c>
      <c r="H32" s="151" t="str">
        <f>INDEX(Teams!$B$5:$H$45,MATCH(Results!$C32,Teams!$B$5:$B$45,0),5)</f>
        <v>Mineral</v>
      </c>
      <c r="I32" s="152" t="str">
        <f>INDEX(Teams!$B$5:$H$45,MATCH(Results!$C32,Teams!$B$5:$B$45,0),6)</f>
        <v>WSIT</v>
      </c>
      <c r="J32" s="152" t="str">
        <f>INDEX(Teams!$B$5:$H$45,MATCH(Results!$F32,Teams!$B$5:$B$45,0),6)</f>
        <v>UPSL</v>
      </c>
      <c r="K32" s="69" t="str">
        <f t="shared" si="0"/>
        <v>WSITUPSL</v>
      </c>
      <c r="L32" s="68" t="str">
        <f t="shared" si="1"/>
        <v>UPSL</v>
      </c>
      <c r="M32" s="68">
        <f t="shared" si="2"/>
        <v>1</v>
      </c>
      <c r="N32" s="68">
        <f t="shared" si="3"/>
        <v>6</v>
      </c>
      <c r="O32" s="68" t="str">
        <f t="shared" si="4"/>
        <v>Away</v>
      </c>
      <c r="P32" s="68" t="str">
        <f t="shared" si="5"/>
        <v>WSIT2</v>
      </c>
      <c r="Q32" s="68" t="str">
        <f t="shared" si="6"/>
        <v>UPSL2</v>
      </c>
      <c r="R32" s="68" t="e">
        <f>INDEX(RankPoints!$B$4:$AK$19,$B32+1,MATCH(Results!$I32,RankPoints!$B$4:$AK$4,0))</f>
        <v>#N/A</v>
      </c>
      <c r="S32" s="68">
        <f>INDEX(RankPoints!$B$4:$AK$19,$B32+1,MATCH(Results!$J32,RankPoints!$B$4:$AK$4,0))</f>
        <v>1500</v>
      </c>
      <c r="T32" s="68">
        <f t="shared" si="7"/>
        <v>0</v>
      </c>
      <c r="U32" s="155">
        <f t="shared" si="8"/>
        <v>1</v>
      </c>
      <c r="V32" s="156" t="e">
        <f>1/(1+(10^($X32/'[1]Teams'!$F$3)))</f>
        <v>#N/A</v>
      </c>
      <c r="W32" s="157" t="e">
        <f>1/(1+(10^($Y32/'[1]Teams'!$F$3)))</f>
        <v>#N/A</v>
      </c>
      <c r="X32" s="68" t="e">
        <f t="shared" si="9"/>
        <v>#N/A</v>
      </c>
      <c r="Y32" s="155" t="e">
        <f t="shared" si="10"/>
        <v>#N/A</v>
      </c>
      <c r="Z32" s="68" t="e">
        <f>ROUND($R32+(Teams!$H$2*($T32-$V32)),0)</f>
        <v>#N/A</v>
      </c>
      <c r="AA32" s="158" t="e">
        <f>ROUND($S32+(Teams!$H$2*($U32-$W32)),0)</f>
        <v>#N/A</v>
      </c>
    </row>
    <row r="33" spans="2:27" ht="12.75">
      <c r="B33" s="158">
        <v>2</v>
      </c>
      <c r="C33" s="216" t="s">
        <v>80</v>
      </c>
      <c r="D33" s="171">
        <v>14</v>
      </c>
      <c r="E33" s="175">
        <v>3</v>
      </c>
      <c r="F33" s="221" t="s">
        <v>150</v>
      </c>
      <c r="G33" s="151" t="str">
        <f>INDEX(Teams!$B$5:$H$45,MATCH(Results!$C33,Teams!$B$5:$B$45,0),3)</f>
        <v>Orange Bowl</v>
      </c>
      <c r="H33" s="151" t="str">
        <f>INDEX(Teams!$B$5:$H$45,MATCH(Results!$C33,Teams!$B$5:$B$45,0),5)</f>
        <v>Mineral</v>
      </c>
      <c r="I33" s="152" t="str">
        <f>INDEX(Teams!$B$5:$H$45,MATCH(Results!$C33,Teams!$B$5:$B$45,0),6)</f>
        <v>OCSU</v>
      </c>
      <c r="J33" s="152" t="str">
        <f>INDEX(Teams!$B$5:$H$45,MATCH(Results!$F33,Teams!$B$5:$B$45,0),6)</f>
        <v>RICH</v>
      </c>
      <c r="K33" s="69" t="str">
        <f t="shared" si="0"/>
        <v>OCSURICH</v>
      </c>
      <c r="L33" s="68" t="str">
        <f t="shared" si="1"/>
        <v>OCSU</v>
      </c>
      <c r="M33" s="68">
        <f t="shared" si="2"/>
        <v>1</v>
      </c>
      <c r="N33" s="68">
        <f t="shared" si="3"/>
        <v>11</v>
      </c>
      <c r="O33" s="68" t="str">
        <f t="shared" si="4"/>
        <v>Home</v>
      </c>
      <c r="P33" s="68" t="str">
        <f t="shared" si="5"/>
        <v>OCSU2</v>
      </c>
      <c r="Q33" s="68" t="str">
        <f t="shared" si="6"/>
        <v>RICH2</v>
      </c>
      <c r="R33" s="68">
        <f>INDEX(RankPoints!$B$4:$AK$19,$B33+1,MATCH(Results!$I33,RankPoints!$B$4:$AK$4,0))</f>
        <v>1500</v>
      </c>
      <c r="S33" s="68" t="e">
        <f>INDEX(RankPoints!$B$4:$AK$19,$B33+1,MATCH(Results!$J33,RankPoints!$B$4:$AK$4,0))</f>
        <v>#N/A</v>
      </c>
      <c r="T33" s="68">
        <f t="shared" si="7"/>
        <v>1</v>
      </c>
      <c r="U33" s="155">
        <f t="shared" si="8"/>
        <v>0</v>
      </c>
      <c r="V33" s="156" t="e">
        <f>1/(1+(10^($X33/'[1]Teams'!$F$3)))</f>
        <v>#N/A</v>
      </c>
      <c r="W33" s="157" t="e">
        <f>1/(1+(10^($Y33/'[1]Teams'!$F$3)))</f>
        <v>#N/A</v>
      </c>
      <c r="X33" s="68" t="e">
        <f t="shared" si="9"/>
        <v>#N/A</v>
      </c>
      <c r="Y33" s="155" t="e">
        <f t="shared" si="10"/>
        <v>#N/A</v>
      </c>
      <c r="Z33" s="68" t="e">
        <f>ROUND($R33+(Teams!$H$2*($T33-$V33)),0)</f>
        <v>#N/A</v>
      </c>
      <c r="AA33" s="158" t="e">
        <f>ROUND($S33+(Teams!$H$2*($U33-$W33)),0)</f>
        <v>#N/A</v>
      </c>
    </row>
    <row r="34" spans="2:27" ht="12.75">
      <c r="B34" s="158">
        <v>2</v>
      </c>
      <c r="C34" s="216" t="s">
        <v>156</v>
      </c>
      <c r="D34" s="171">
        <v>25</v>
      </c>
      <c r="E34" s="175">
        <v>9</v>
      </c>
      <c r="F34" s="221" t="s">
        <v>155</v>
      </c>
      <c r="G34" s="151" t="str">
        <f>INDEX(Teams!$B$5:$H$45,MATCH(Results!$C34,Teams!$B$5:$B$45,0),3)</f>
        <v>Luis Cod Memorial Stadium</v>
      </c>
      <c r="H34" s="151" t="str">
        <f>INDEX(Teams!$B$5:$H$45,MATCH(Results!$C34,Teams!$B$5:$B$45,0),5)</f>
        <v>Mineral</v>
      </c>
      <c r="I34" s="152" t="str">
        <f>INDEX(Teams!$B$5:$H$45,MATCH(Results!$C34,Teams!$B$5:$B$45,0),6)</f>
        <v>BLUE</v>
      </c>
      <c r="J34" s="152" t="str">
        <f>INDEX(Teams!$B$5:$H$45,MATCH(Results!$F34,Teams!$B$5:$B$45,0),6)</f>
        <v>EKIL</v>
      </c>
      <c r="K34" s="69" t="str">
        <f t="shared" si="0"/>
        <v>BLUEEKIL</v>
      </c>
      <c r="L34" s="68" t="str">
        <f t="shared" si="1"/>
        <v>BLUE</v>
      </c>
      <c r="M34" s="68">
        <f t="shared" si="2"/>
        <v>1</v>
      </c>
      <c r="N34" s="68">
        <f t="shared" si="3"/>
        <v>16</v>
      </c>
      <c r="O34" s="68" t="str">
        <f t="shared" si="4"/>
        <v>Home</v>
      </c>
      <c r="P34" s="68" t="str">
        <f t="shared" si="5"/>
        <v>BLUE2</v>
      </c>
      <c r="Q34" s="68" t="str">
        <f t="shared" si="6"/>
        <v>EKIL2</v>
      </c>
      <c r="R34" s="68" t="e">
        <f>INDEX(RankPoints!$B$4:$AK$19,$B34+1,MATCH(Results!$I34,RankPoints!$B$4:$AK$4,0))</f>
        <v>#N/A</v>
      </c>
      <c r="S34" s="68" t="e">
        <f>INDEX(RankPoints!$B$4:$AK$19,$B34+1,MATCH(Results!$J34,RankPoints!$B$4:$AK$4,0))</f>
        <v>#N/A</v>
      </c>
      <c r="T34" s="68">
        <f t="shared" si="7"/>
        <v>1</v>
      </c>
      <c r="U34" s="155">
        <f t="shared" si="8"/>
        <v>0</v>
      </c>
      <c r="V34" s="156" t="e">
        <f>1/(1+(10^($X34/'[1]Teams'!$F$3)))</f>
        <v>#N/A</v>
      </c>
      <c r="W34" s="157" t="e">
        <f>1/(1+(10^($Y34/'[1]Teams'!$F$3)))</f>
        <v>#N/A</v>
      </c>
      <c r="X34" s="68" t="e">
        <f t="shared" si="9"/>
        <v>#N/A</v>
      </c>
      <c r="Y34" s="155" t="e">
        <f t="shared" si="10"/>
        <v>#N/A</v>
      </c>
      <c r="Z34" s="68" t="e">
        <f>ROUND($R34+(Teams!$H$2*($T34-$V34)),0)</f>
        <v>#N/A</v>
      </c>
      <c r="AA34" s="158" t="e">
        <f>ROUND($S34+(Teams!$H$2*($U34-$W34)),0)</f>
        <v>#N/A</v>
      </c>
    </row>
    <row r="35" spans="2:27" ht="12.75">
      <c r="B35" s="158">
        <v>2</v>
      </c>
      <c r="C35" s="216" t="s">
        <v>269</v>
      </c>
      <c r="D35" s="171">
        <v>7</v>
      </c>
      <c r="E35" s="175">
        <v>13</v>
      </c>
      <c r="F35" s="221" t="s">
        <v>119</v>
      </c>
      <c r="G35" s="151" t="str">
        <f>INDEX(Teams!$B$5:$H$45,MATCH(Results!$C35,Teams!$B$5:$B$45,0),3)</f>
        <v>St John's Castle</v>
      </c>
      <c r="H35" s="151" t="str">
        <f>INDEX(Teams!$B$5:$H$45,MATCH(Results!$C35,Teams!$B$5:$B$45,0),5)</f>
        <v>Sequoia</v>
      </c>
      <c r="I35" s="152" t="str">
        <f>INDEX(Teams!$B$5:$H$45,MATCH(Results!$C35,Teams!$B$5:$B$45,0),6)</f>
        <v>STJN</v>
      </c>
      <c r="J35" s="152" t="str">
        <f>INDEX(Teams!$B$5:$H$45,MATCH(Results!$F35,Teams!$B$5:$B$45,0),6)</f>
        <v>NETT</v>
      </c>
      <c r="K35" s="69" t="str">
        <f t="shared" si="0"/>
        <v>STJNNETT</v>
      </c>
      <c r="L35" s="68" t="str">
        <f t="shared" si="1"/>
        <v>NETT</v>
      </c>
      <c r="M35" s="68">
        <f t="shared" si="2"/>
        <v>1</v>
      </c>
      <c r="N35" s="68">
        <f t="shared" si="3"/>
        <v>6</v>
      </c>
      <c r="O35" s="68" t="str">
        <f t="shared" si="4"/>
        <v>Away</v>
      </c>
      <c r="P35" s="68" t="str">
        <f t="shared" si="5"/>
        <v>STJN2</v>
      </c>
      <c r="Q35" s="68" t="str">
        <f t="shared" si="6"/>
        <v>NETT2</v>
      </c>
      <c r="R35" s="68">
        <f>INDEX(RankPoints!$B$4:$AK$19,$B35+1,MATCH(Results!$I35,RankPoints!$B$4:$AK$4,0))</f>
        <v>1599</v>
      </c>
      <c r="S35" s="68" t="e">
        <f>INDEX(RankPoints!$B$4:$AK$19,$B35+1,MATCH(Results!$J35,RankPoints!$B$4:$AK$4,0))</f>
        <v>#N/A</v>
      </c>
      <c r="T35" s="68">
        <f t="shared" si="7"/>
        <v>0</v>
      </c>
      <c r="U35" s="155">
        <f t="shared" si="8"/>
        <v>1</v>
      </c>
      <c r="V35" s="156" t="e">
        <f>1/(1+(10^($X35/'[1]Teams'!$F$3)))</f>
        <v>#N/A</v>
      </c>
      <c r="W35" s="157" t="e">
        <f>1/(1+(10^($Y35/'[1]Teams'!$F$3)))</f>
        <v>#N/A</v>
      </c>
      <c r="X35" s="68" t="e">
        <f t="shared" si="9"/>
        <v>#N/A</v>
      </c>
      <c r="Y35" s="155" t="e">
        <f t="shared" si="10"/>
        <v>#N/A</v>
      </c>
      <c r="Z35" s="68" t="e">
        <f>ROUND($R35+(Teams!$H$2*($T35-$V35)),0)</f>
        <v>#N/A</v>
      </c>
      <c r="AA35" s="158" t="e">
        <f>ROUND($S35+(Teams!$H$2*($U35-$W35)),0)</f>
        <v>#N/A</v>
      </c>
    </row>
    <row r="36" spans="2:27" ht="12.75">
      <c r="B36" s="158">
        <v>2</v>
      </c>
      <c r="C36" s="216" t="s">
        <v>111</v>
      </c>
      <c r="D36" s="171">
        <v>6</v>
      </c>
      <c r="E36" s="175">
        <v>38</v>
      </c>
      <c r="F36" s="221" t="s">
        <v>112</v>
      </c>
      <c r="G36" s="151" t="str">
        <f>INDEX(Teams!$B$5:$H$45,MATCH(Results!$C36,Teams!$B$5:$B$45,0),3)</f>
        <v>Welcome City Stadium</v>
      </c>
      <c r="H36" s="151" t="str">
        <f>INDEX(Teams!$B$5:$H$45,MATCH(Results!$C36,Teams!$B$5:$B$45,0),5)</f>
        <v>Sequoia</v>
      </c>
      <c r="I36" s="152" t="str">
        <f>INDEX(Teams!$B$5:$H$45,MATCH(Results!$C36,Teams!$B$5:$B$45,0),6)</f>
        <v>NRDN</v>
      </c>
      <c r="J36" s="152" t="str">
        <f>INDEX(Teams!$B$5:$H$45,MATCH(Results!$F36,Teams!$B$5:$B$45,0),6)</f>
        <v>FHST</v>
      </c>
      <c r="K36" s="69" t="str">
        <f t="shared" si="0"/>
        <v>NRDNFHST</v>
      </c>
      <c r="L36" s="68" t="str">
        <f t="shared" si="1"/>
        <v>FHST</v>
      </c>
      <c r="M36" s="68">
        <f t="shared" si="2"/>
        <v>1</v>
      </c>
      <c r="N36" s="68">
        <f t="shared" si="3"/>
        <v>32</v>
      </c>
      <c r="O36" s="68" t="str">
        <f t="shared" si="4"/>
        <v>Away</v>
      </c>
      <c r="P36" s="68" t="str">
        <f t="shared" si="5"/>
        <v>NRDN2</v>
      </c>
      <c r="Q36" s="68" t="str">
        <f t="shared" si="6"/>
        <v>FHST2</v>
      </c>
      <c r="R36" s="68">
        <f>INDEX(RankPoints!$B$4:$AK$19,$B36+1,MATCH(Results!$I36,RankPoints!$B$4:$AK$4,0))</f>
        <v>1563</v>
      </c>
      <c r="S36" s="68">
        <f>INDEX(RankPoints!$B$4:$AK$19,$B36+1,MATCH(Results!$J36,RankPoints!$B$4:$AK$4,0))</f>
        <v>1584</v>
      </c>
      <c r="T36" s="68">
        <f t="shared" si="7"/>
        <v>0</v>
      </c>
      <c r="U36" s="155">
        <f t="shared" si="8"/>
        <v>1</v>
      </c>
      <c r="V36" s="156">
        <f>1/(1+(10^($X36/'[1]Teams'!$F$3)))</f>
        <v>0.5301846800039021</v>
      </c>
      <c r="W36" s="157">
        <f>1/(1+(10^($Y36/'[1]Teams'!$F$3)))</f>
        <v>0.469815319996098</v>
      </c>
      <c r="X36" s="68">
        <f t="shared" si="9"/>
        <v>-21</v>
      </c>
      <c r="Y36" s="155">
        <f t="shared" si="10"/>
        <v>21</v>
      </c>
      <c r="Z36" s="68">
        <f>ROUND($R36+(Teams!$H$2*($T36-$V36)),0)</f>
        <v>1546</v>
      </c>
      <c r="AA36" s="158">
        <f>ROUND($S36+(Teams!$H$2*($U36-$W36)),0)</f>
        <v>1601</v>
      </c>
    </row>
    <row r="37" spans="2:27" ht="12.75">
      <c r="B37" s="158">
        <v>2</v>
      </c>
      <c r="C37" s="216" t="s">
        <v>79</v>
      </c>
      <c r="D37" s="171">
        <v>0</v>
      </c>
      <c r="E37" s="175">
        <v>21</v>
      </c>
      <c r="F37" s="221" t="s">
        <v>19</v>
      </c>
      <c r="G37" s="151" t="str">
        <f>INDEX(Teams!$B$5:$H$45,MATCH(Results!$C37,Teams!$B$5:$B$45,0),3)</f>
        <v>Anatidae Field</v>
      </c>
      <c r="H37" s="151" t="str">
        <f>INDEX(Teams!$B$5:$H$45,MATCH(Results!$C37,Teams!$B$5:$B$45,0),5)</f>
        <v>Sequoia</v>
      </c>
      <c r="I37" s="152" t="str">
        <f>INDEX(Teams!$B$5:$H$45,MATCH(Results!$C37,Teams!$B$5:$B$45,0),6)</f>
        <v>RVMD</v>
      </c>
      <c r="J37" s="152" t="str">
        <f>INDEX(Teams!$B$5:$H$45,MATCH(Results!$F37,Teams!$B$5:$B$45,0),6)</f>
        <v>ALZD</v>
      </c>
      <c r="K37" s="69" t="str">
        <f t="shared" si="0"/>
        <v>RVMDALZD</v>
      </c>
      <c r="L37" s="68" t="str">
        <f t="shared" si="1"/>
        <v>ALZD</v>
      </c>
      <c r="M37" s="68">
        <f t="shared" si="2"/>
        <v>1</v>
      </c>
      <c r="N37" s="68">
        <f t="shared" si="3"/>
        <v>21</v>
      </c>
      <c r="O37" s="68" t="str">
        <f t="shared" si="4"/>
        <v>Away</v>
      </c>
      <c r="P37" s="68" t="str">
        <f t="shared" si="5"/>
        <v>RVMD2</v>
      </c>
      <c r="Q37" s="68" t="str">
        <f t="shared" si="6"/>
        <v>ALZD2</v>
      </c>
      <c r="R37" s="68">
        <f>INDEX(RankPoints!$B$4:$AK$19,$B37+1,MATCH(Results!$I37,RankPoints!$B$4:$AK$4,0))</f>
        <v>1500</v>
      </c>
      <c r="S37" s="68">
        <f>INDEX(RankPoints!$B$4:$AK$19,$B37+1,MATCH(Results!$J37,RankPoints!$B$4:$AK$4,0))</f>
        <v>-45</v>
      </c>
      <c r="T37" s="68">
        <f t="shared" si="7"/>
        <v>0</v>
      </c>
      <c r="U37" s="155">
        <f t="shared" si="8"/>
        <v>1</v>
      </c>
      <c r="V37" s="156">
        <f>1/(1+(10^($X37/'[1]Teams'!$F$3)))</f>
        <v>0.0001372272621947413</v>
      </c>
      <c r="W37" s="157">
        <f>1/(1+(10^($Y37/'[1]Teams'!$F$3)))</f>
        <v>0.9998627727378053</v>
      </c>
      <c r="X37" s="68">
        <f t="shared" si="9"/>
        <v>1545</v>
      </c>
      <c r="Y37" s="155">
        <f t="shared" si="10"/>
        <v>-1545</v>
      </c>
      <c r="Z37" s="68">
        <f>ROUND($R37+(Teams!$H$2*($T37-$V37)),0)</f>
        <v>1500</v>
      </c>
      <c r="AA37" s="158">
        <f>ROUND($S37+(Teams!$H$2*($U37-$W37)),0)</f>
        <v>-45</v>
      </c>
    </row>
    <row r="38" spans="2:27" ht="12.75">
      <c r="B38" s="158">
        <v>2</v>
      </c>
      <c r="C38" s="216" t="s">
        <v>265</v>
      </c>
      <c r="D38" s="171">
        <v>13</v>
      </c>
      <c r="E38" s="175">
        <v>10</v>
      </c>
      <c r="F38" s="221" t="s">
        <v>117</v>
      </c>
      <c r="G38" s="151" t="str">
        <f>INDEX(Teams!$B$5:$H$45,MATCH(Results!$C38,Teams!$B$5:$B$45,0),3)</f>
        <v>Extraterrestrial Dome of Sport</v>
      </c>
      <c r="H38" s="151" t="str">
        <f>INDEX(Teams!$B$5:$H$45,MATCH(Results!$C38,Teams!$B$5:$B$45,0),5)</f>
        <v>Sequoia</v>
      </c>
      <c r="I38" s="152" t="str">
        <f>INDEX(Teams!$B$5:$H$45,MATCH(Results!$C38,Teams!$B$5:$B$45,0),6)</f>
        <v>ACSP</v>
      </c>
      <c r="J38" s="152" t="str">
        <f>INDEX(Teams!$B$5:$H$45,MATCH(Results!$F38,Teams!$B$5:$B$45,0),6)</f>
        <v>ALUT</v>
      </c>
      <c r="K38" s="69" t="str">
        <f t="shared" si="0"/>
        <v>ACSPALUT</v>
      </c>
      <c r="L38" s="68" t="str">
        <f t="shared" si="1"/>
        <v>ACSP</v>
      </c>
      <c r="M38" s="68">
        <f t="shared" si="2"/>
        <v>1</v>
      </c>
      <c r="N38" s="68">
        <f t="shared" si="3"/>
        <v>3</v>
      </c>
      <c r="O38" s="68" t="str">
        <f t="shared" si="4"/>
        <v>Home</v>
      </c>
      <c r="P38" s="68" t="str">
        <f t="shared" si="5"/>
        <v>ACSP2</v>
      </c>
      <c r="Q38" s="68" t="str">
        <f t="shared" si="6"/>
        <v>ALUT2</v>
      </c>
      <c r="R38" s="68" t="e">
        <f>INDEX(RankPoints!$B$4:$AK$19,$B38+1,MATCH(Results!$I38,RankPoints!$B$4:$AK$4,0))</f>
        <v>#N/A</v>
      </c>
      <c r="S38" s="68" t="e">
        <f>INDEX(RankPoints!$B$4:$AK$19,$B38+1,MATCH(Results!$J38,RankPoints!$B$4:$AK$4,0))</f>
        <v>#N/A</v>
      </c>
      <c r="T38" s="68">
        <f t="shared" si="7"/>
        <v>1</v>
      </c>
      <c r="U38" s="155">
        <f t="shared" si="8"/>
        <v>0</v>
      </c>
      <c r="V38" s="156" t="e">
        <f>1/(1+(10^($X38/'[1]Teams'!$F$3)))</f>
        <v>#N/A</v>
      </c>
      <c r="W38" s="157" t="e">
        <f>1/(1+(10^($Y38/'[1]Teams'!$F$3)))</f>
        <v>#N/A</v>
      </c>
      <c r="X38" s="68" t="e">
        <f t="shared" si="9"/>
        <v>#N/A</v>
      </c>
      <c r="Y38" s="155" t="e">
        <f t="shared" si="10"/>
        <v>#N/A</v>
      </c>
      <c r="Z38" s="68" t="e">
        <f>ROUND($R38+(Teams!$H$2*($T38-$V38)),0)</f>
        <v>#N/A</v>
      </c>
      <c r="AA38" s="158" t="e">
        <f>ROUND($S38+(Teams!$H$2*($U38-$W38)),0)</f>
        <v>#N/A</v>
      </c>
    </row>
    <row r="39" spans="2:27" ht="12.75">
      <c r="B39" s="158">
        <v>2</v>
      </c>
      <c r="C39" s="216" t="s">
        <v>152</v>
      </c>
      <c r="D39" s="171">
        <v>17</v>
      </c>
      <c r="E39" s="175">
        <v>31</v>
      </c>
      <c r="F39" s="221" t="s">
        <v>109</v>
      </c>
      <c r="G39" s="151" t="str">
        <f>INDEX(Teams!$B$5:$H$45,MATCH(Results!$C39,Teams!$B$5:$B$45,0),3)</f>
        <v>Trent Community Park</v>
      </c>
      <c r="H39" s="151" t="str">
        <f>INDEX(Teams!$B$5:$H$45,MATCH(Results!$C39,Teams!$B$5:$B$45,0),5)</f>
        <v>Woodlands</v>
      </c>
      <c r="I39" s="152" t="str">
        <f>INDEX(Teams!$B$5:$H$45,MATCH(Results!$C39,Teams!$B$5:$B$45,0),6)</f>
        <v>WALT</v>
      </c>
      <c r="J39" s="152" t="str">
        <f>INDEX(Teams!$B$5:$H$45,MATCH(Results!$F39,Teams!$B$5:$B$45,0),6)</f>
        <v>ARKN</v>
      </c>
      <c r="K39" s="69" t="str">
        <f t="shared" si="0"/>
        <v>WALTARKN</v>
      </c>
      <c r="L39" s="68" t="str">
        <f t="shared" si="1"/>
        <v>ARKN</v>
      </c>
      <c r="M39" s="68">
        <f t="shared" si="2"/>
        <v>1</v>
      </c>
      <c r="N39" s="68">
        <f t="shared" si="3"/>
        <v>14</v>
      </c>
      <c r="O39" s="68" t="str">
        <f t="shared" si="4"/>
        <v>Away</v>
      </c>
      <c r="P39" s="68" t="str">
        <f t="shared" si="5"/>
        <v>WALT2</v>
      </c>
      <c r="Q39" s="68" t="str">
        <f t="shared" si="6"/>
        <v>ARKN2</v>
      </c>
      <c r="R39" s="68" t="e">
        <f>INDEX(RankPoints!$B$4:$AK$19,$B39+1,MATCH(Results!$I39,RankPoints!$B$4:$AK$4,0))</f>
        <v>#N/A</v>
      </c>
      <c r="S39" s="68">
        <f>INDEX(RankPoints!$B$4:$AK$19,$B39+1,MATCH(Results!$J39,RankPoints!$B$4:$AK$4,0))</f>
        <v>1798</v>
      </c>
      <c r="T39" s="68">
        <f t="shared" si="7"/>
        <v>0</v>
      </c>
      <c r="U39" s="155">
        <f t="shared" si="8"/>
        <v>1</v>
      </c>
      <c r="V39" s="156" t="e">
        <f>1/(1+(10^($X39/'[1]Teams'!$F$3)))</f>
        <v>#N/A</v>
      </c>
      <c r="W39" s="157" t="e">
        <f>1/(1+(10^($Y39/'[1]Teams'!$F$3)))</f>
        <v>#N/A</v>
      </c>
      <c r="X39" s="68" t="e">
        <f t="shared" si="9"/>
        <v>#N/A</v>
      </c>
      <c r="Y39" s="155" t="e">
        <f t="shared" si="10"/>
        <v>#N/A</v>
      </c>
      <c r="Z39" s="68" t="e">
        <f>ROUND($R39+(Teams!$H$2*($T39-$V39)),0)</f>
        <v>#N/A</v>
      </c>
      <c r="AA39" s="158" t="e">
        <f>ROUND($S39+(Teams!$H$2*($U39-$W39)),0)</f>
        <v>#N/A</v>
      </c>
    </row>
    <row r="40" spans="2:27" ht="12.75">
      <c r="B40" s="158">
        <v>2</v>
      </c>
      <c r="C40" s="216" t="s">
        <v>125</v>
      </c>
      <c r="D40" s="171">
        <v>30</v>
      </c>
      <c r="E40" s="175">
        <v>38</v>
      </c>
      <c r="F40" s="221" t="s">
        <v>158</v>
      </c>
      <c r="G40" s="151" t="str">
        <f>INDEX(Teams!$B$5:$H$45,MATCH(Results!$C40,Teams!$B$5:$B$45,0),3)</f>
        <v>Groundhog Field</v>
      </c>
      <c r="H40" s="151" t="str">
        <f>INDEX(Teams!$B$5:$H$45,MATCH(Results!$C40,Teams!$B$5:$B$45,0),5)</f>
        <v>Woodlands</v>
      </c>
      <c r="I40" s="152" t="str">
        <f>INDEX(Teams!$B$5:$H$45,MATCH(Results!$C40,Teams!$B$5:$B$45,0),6)</f>
        <v>JGZA</v>
      </c>
      <c r="J40" s="152" t="str">
        <f>INDEX(Teams!$B$5:$H$45,MATCH(Results!$F40,Teams!$B$5:$B$45,0),6)</f>
        <v>TOUF</v>
      </c>
      <c r="K40" s="69" t="str">
        <f t="shared" si="0"/>
        <v>JGZATOUF</v>
      </c>
      <c r="L40" s="68" t="str">
        <f t="shared" si="1"/>
        <v>TOUF</v>
      </c>
      <c r="M40" s="68">
        <f t="shared" si="2"/>
        <v>1</v>
      </c>
      <c r="N40" s="68">
        <f t="shared" si="3"/>
        <v>8</v>
      </c>
      <c r="O40" s="68" t="str">
        <f t="shared" si="4"/>
        <v>Away</v>
      </c>
      <c r="P40" s="68" t="str">
        <f t="shared" si="5"/>
        <v>JGZA2</v>
      </c>
      <c r="Q40" s="68" t="str">
        <f t="shared" si="6"/>
        <v>TOUF2</v>
      </c>
      <c r="R40" s="68" t="e">
        <f>INDEX(RankPoints!$B$4:$AK$19,$B40+1,MATCH(Results!$I40,RankPoints!$B$4:$AK$4,0))</f>
        <v>#N/A</v>
      </c>
      <c r="S40" s="68" t="e">
        <f>INDEX(RankPoints!$B$4:$AK$19,$B40+1,MATCH(Results!$J40,RankPoints!$B$4:$AK$4,0))</f>
        <v>#N/A</v>
      </c>
      <c r="T40" s="68">
        <f t="shared" si="7"/>
        <v>0</v>
      </c>
      <c r="U40" s="155">
        <f t="shared" si="8"/>
        <v>1</v>
      </c>
      <c r="V40" s="156" t="e">
        <f>1/(1+(10^($X40/'[1]Teams'!$F$3)))</f>
        <v>#N/A</v>
      </c>
      <c r="W40" s="157" t="e">
        <f>1/(1+(10^($Y40/'[1]Teams'!$F$3)))</f>
        <v>#N/A</v>
      </c>
      <c r="X40" s="68" t="e">
        <f t="shared" si="9"/>
        <v>#N/A</v>
      </c>
      <c r="Y40" s="155" t="e">
        <f t="shared" si="10"/>
        <v>#N/A</v>
      </c>
      <c r="Z40" s="68" t="e">
        <f>ROUND($R40+(Teams!$H$2*($T40-$V40)),0)</f>
        <v>#N/A</v>
      </c>
      <c r="AA40" s="158" t="e">
        <f>ROUND($S40+(Teams!$H$2*($U40-$W40)),0)</f>
        <v>#N/A</v>
      </c>
    </row>
    <row r="41" spans="2:27" ht="12.75">
      <c r="B41" s="158">
        <v>2</v>
      </c>
      <c r="C41" s="216" t="s">
        <v>110</v>
      </c>
      <c r="D41" s="171">
        <v>22</v>
      </c>
      <c r="E41" s="175">
        <v>3</v>
      </c>
      <c r="F41" s="221" t="s">
        <v>255</v>
      </c>
      <c r="G41" s="151" t="str">
        <f>INDEX(Teams!$B$5:$H$45,MATCH(Results!$C41,Teams!$B$5:$B$45,0),3)</f>
        <v>Martin Connors Memorial Field</v>
      </c>
      <c r="H41" s="151" t="str">
        <f>INDEX(Teams!$B$5:$H$45,MATCH(Results!$C41,Teams!$B$5:$B$45,0),5)</f>
        <v>Woodlands</v>
      </c>
      <c r="I41" s="152" t="str">
        <f>INDEX(Teams!$B$5:$H$45,MATCH(Results!$C41,Teams!$B$5:$B$45,0),6)</f>
        <v>UTCA</v>
      </c>
      <c r="J41" s="152" t="str">
        <f>INDEX(Teams!$B$5:$H$45,MATCH(Results!$F41,Teams!$B$5:$B$45,0),6)</f>
        <v>HUDS</v>
      </c>
      <c r="K41" s="69" t="str">
        <f t="shared" si="0"/>
        <v>UTCAHUDS</v>
      </c>
      <c r="L41" s="68" t="str">
        <f t="shared" si="1"/>
        <v>UTCA</v>
      </c>
      <c r="M41" s="68">
        <f t="shared" si="2"/>
        <v>1</v>
      </c>
      <c r="N41" s="68">
        <f t="shared" si="3"/>
        <v>19</v>
      </c>
      <c r="O41" s="68" t="str">
        <f t="shared" si="4"/>
        <v>Home</v>
      </c>
      <c r="P41" s="68" t="str">
        <f t="shared" si="5"/>
        <v>UTCA2</v>
      </c>
      <c r="Q41" s="68" t="str">
        <f t="shared" si="6"/>
        <v>HUDS2</v>
      </c>
      <c r="R41" s="68">
        <f>INDEX(RankPoints!$B$4:$AK$19,$B41+1,MATCH(Results!$I41,RankPoints!$B$4:$AK$4,0))</f>
        <v>1472</v>
      </c>
      <c r="S41" s="68" t="e">
        <f>INDEX(RankPoints!$B$4:$AK$19,$B41+1,MATCH(Results!$J41,RankPoints!$B$4:$AK$4,0))</f>
        <v>#N/A</v>
      </c>
      <c r="T41" s="68">
        <f t="shared" si="7"/>
        <v>1</v>
      </c>
      <c r="U41" s="155">
        <f t="shared" si="8"/>
        <v>0</v>
      </c>
      <c r="V41" s="156" t="e">
        <f>1/(1+(10^($X41/'[1]Teams'!$F$3)))</f>
        <v>#N/A</v>
      </c>
      <c r="W41" s="157" t="e">
        <f>1/(1+(10^($Y41/'[1]Teams'!$F$3)))</f>
        <v>#N/A</v>
      </c>
      <c r="X41" s="68" t="e">
        <f t="shared" si="9"/>
        <v>#N/A</v>
      </c>
      <c r="Y41" s="155" t="e">
        <f t="shared" si="10"/>
        <v>#N/A</v>
      </c>
      <c r="Z41" s="68" t="e">
        <f>ROUND($R41+(Teams!$H$2*($T41-$V41)),0)</f>
        <v>#N/A</v>
      </c>
      <c r="AA41" s="158" t="e">
        <f>ROUND($S41+(Teams!$H$2*($U41-$W41)),0)</f>
        <v>#N/A</v>
      </c>
    </row>
    <row r="42" spans="2:27" ht="12.75">
      <c r="B42" s="158">
        <v>2</v>
      </c>
      <c r="C42" s="216" t="s">
        <v>127</v>
      </c>
      <c r="D42" s="171">
        <v>0</v>
      </c>
      <c r="E42" s="175">
        <v>13</v>
      </c>
      <c r="F42" s="221" t="s">
        <v>78</v>
      </c>
      <c r="G42" s="151" t="str">
        <f>INDEX(Teams!$B$5:$H$45,MATCH(Results!$C42,Teams!$B$5:$B$45,0),3)</f>
        <v>Glenn Memorial Stadium</v>
      </c>
      <c r="H42" s="151" t="str">
        <f>INDEX(Teams!$B$5:$H$45,MATCH(Results!$C42,Teams!$B$5:$B$45,0),5)</f>
        <v>Woodlands</v>
      </c>
      <c r="I42" s="152" t="str">
        <f>INDEX(Teams!$B$5:$H$45,MATCH(Results!$C42,Teams!$B$5:$B$45,0),6)</f>
        <v>BUCK</v>
      </c>
      <c r="J42" s="152" t="str">
        <f>INDEX(Teams!$B$5:$H$45,MATCH(Results!$F42,Teams!$B$5:$B$45,0),6)</f>
        <v>FRBB</v>
      </c>
      <c r="K42" s="69" t="str">
        <f t="shared" si="0"/>
        <v>BUCKFRBB</v>
      </c>
      <c r="L42" s="68" t="str">
        <f t="shared" si="1"/>
        <v>FRBB</v>
      </c>
      <c r="M42" s="68">
        <f t="shared" si="2"/>
        <v>1</v>
      </c>
      <c r="N42" s="68">
        <f t="shared" si="3"/>
        <v>13</v>
      </c>
      <c r="O42" s="68" t="str">
        <f t="shared" si="4"/>
        <v>Away</v>
      </c>
      <c r="P42" s="68" t="str">
        <f t="shared" si="5"/>
        <v>BUCK2</v>
      </c>
      <c r="Q42" s="68" t="str">
        <f t="shared" si="6"/>
        <v>FRBB2</v>
      </c>
      <c r="R42" s="68" t="e">
        <f>INDEX(RankPoints!$B$4:$AK$19,$B42+1,MATCH(Results!$I42,RankPoints!$B$4:$AK$4,0))</f>
        <v>#N/A</v>
      </c>
      <c r="S42" s="68">
        <f>INDEX(RankPoints!$B$4:$AK$19,$B42+1,MATCH(Results!$J42,RankPoints!$B$4:$AK$4,0))</f>
        <v>351</v>
      </c>
      <c r="T42" s="68">
        <f t="shared" si="7"/>
        <v>0</v>
      </c>
      <c r="U42" s="155">
        <f t="shared" si="8"/>
        <v>1</v>
      </c>
      <c r="V42" s="156" t="e">
        <f>1/(1+(10^($X42/'[1]Teams'!$F$3)))</f>
        <v>#N/A</v>
      </c>
      <c r="W42" s="157" t="e">
        <f>1/(1+(10^($Y42/'[1]Teams'!$F$3)))</f>
        <v>#N/A</v>
      </c>
      <c r="X42" s="68" t="e">
        <f t="shared" si="9"/>
        <v>#N/A</v>
      </c>
      <c r="Y42" s="155" t="e">
        <f t="shared" si="10"/>
        <v>#N/A</v>
      </c>
      <c r="Z42" s="68" t="e">
        <f>ROUND($R42+(Teams!$H$2*($T42-$V42)),0)</f>
        <v>#N/A</v>
      </c>
      <c r="AA42" s="158" t="e">
        <f>ROUND($S42+(Teams!$H$2*($U42-$W42)),0)</f>
        <v>#N/A</v>
      </c>
    </row>
    <row r="43" spans="2:27" ht="12.75">
      <c r="B43" s="158">
        <v>3</v>
      </c>
      <c r="C43" s="216" t="s">
        <v>270</v>
      </c>
      <c r="D43" s="171">
        <v>56</v>
      </c>
      <c r="E43" s="175">
        <v>3</v>
      </c>
      <c r="F43" s="221" t="s">
        <v>271</v>
      </c>
      <c r="G43" s="151" t="str">
        <f>INDEX(Teams!$B$5:$H$45,MATCH(Results!$C43,Teams!$B$5:$B$45,0),3)</f>
        <v>Bugny Stadium</v>
      </c>
      <c r="H43" s="151" t="str">
        <f>INDEX(Teams!$B$5:$H$45,MATCH(Results!$C43,Teams!$B$5:$B$45,0),5)</f>
        <v>Big Eight</v>
      </c>
      <c r="I43" s="152" t="str">
        <f>INDEX(Teams!$B$5:$H$45,MATCH(Results!$C43,Teams!$B$5:$B$45,0),6)</f>
        <v>BUGN</v>
      </c>
      <c r="J43" s="152" t="str">
        <f>INDEX(Teams!$B$5:$H$45,MATCH(Results!$F43,Teams!$B$5:$B$45,0),6)</f>
        <v>WAA</v>
      </c>
      <c r="K43" s="69" t="str">
        <f t="shared" si="0"/>
        <v>BUGNWAA</v>
      </c>
      <c r="L43" s="68" t="str">
        <f t="shared" si="1"/>
        <v>BUGN</v>
      </c>
      <c r="M43" s="68">
        <f t="shared" si="2"/>
        <v>1</v>
      </c>
      <c r="N43" s="68">
        <f t="shared" si="3"/>
        <v>53</v>
      </c>
      <c r="O43" s="68" t="str">
        <f t="shared" si="4"/>
        <v>Home</v>
      </c>
      <c r="P43" s="68" t="str">
        <f t="shared" si="5"/>
        <v>BUGN3</v>
      </c>
      <c r="Q43" s="68" t="str">
        <f t="shared" si="6"/>
        <v>WAA3</v>
      </c>
      <c r="R43" s="68">
        <f>INDEX(RankPoints!$B$4:$AK$19,$B43+1,MATCH(Results!$I43,RankPoints!$B$4:$AK$4,0))</f>
        <v>1651</v>
      </c>
      <c r="S43" s="68" t="e">
        <f>INDEX(RankPoints!$B$4:$AK$19,$B43+1,MATCH(Results!$J43,RankPoints!$B$4:$AK$4,0))</f>
        <v>#N/A</v>
      </c>
      <c r="T43" s="68">
        <f t="shared" si="7"/>
        <v>1</v>
      </c>
      <c r="U43" s="155">
        <f t="shared" si="8"/>
        <v>0</v>
      </c>
      <c r="V43" s="156" t="e">
        <f>1/(1+(10^($X43/'[1]Teams'!$F$3)))</f>
        <v>#N/A</v>
      </c>
      <c r="W43" s="157" t="e">
        <f>1/(1+(10^($Y43/'[1]Teams'!$F$3)))</f>
        <v>#N/A</v>
      </c>
      <c r="X43" s="68" t="e">
        <f t="shared" si="9"/>
        <v>#N/A</v>
      </c>
      <c r="Y43" s="155" t="e">
        <f t="shared" si="10"/>
        <v>#N/A</v>
      </c>
      <c r="Z43" s="68" t="e">
        <f>ROUND($R43+(Teams!$H$2*($T43-$V43)),0)</f>
        <v>#N/A</v>
      </c>
      <c r="AA43" s="158" t="e">
        <f>ROUND($S43+(Teams!$H$2*($U43-$W43)),0)</f>
        <v>#N/A</v>
      </c>
    </row>
    <row r="44" spans="2:27" ht="12.75">
      <c r="B44" s="158">
        <v>3</v>
      </c>
      <c r="C44" s="216" t="s">
        <v>148</v>
      </c>
      <c r="D44" s="171">
        <v>0</v>
      </c>
      <c r="E44" s="175">
        <v>6</v>
      </c>
      <c r="F44" s="221" t="s">
        <v>144</v>
      </c>
      <c r="G44" s="151" t="str">
        <f>INDEX(Teams!$B$5:$H$45,MATCH(Results!$C44,Teams!$B$5:$B$45,0),3)</f>
        <v>National Stadium</v>
      </c>
      <c r="H44" s="151" t="str">
        <f>INDEX(Teams!$B$5:$H$45,MATCH(Results!$C44,Teams!$B$5:$B$45,0),5)</f>
        <v>Big Eight</v>
      </c>
      <c r="I44" s="152" t="str">
        <f>INDEX(Teams!$B$5:$H$45,MATCH(Results!$C44,Teams!$B$5:$B$45,0),6)</f>
        <v>RELK</v>
      </c>
      <c r="J44" s="152" t="str">
        <f>INDEX(Teams!$B$5:$H$45,MATCH(Results!$F44,Teams!$B$5:$B$45,0),6)</f>
        <v>ARLN</v>
      </c>
      <c r="K44" s="69" t="str">
        <f t="shared" si="0"/>
        <v>RELKARLN</v>
      </c>
      <c r="L44" s="68" t="str">
        <f t="shared" si="1"/>
        <v>ARLN</v>
      </c>
      <c r="M44" s="68">
        <f t="shared" si="2"/>
        <v>1</v>
      </c>
      <c r="N44" s="68">
        <f t="shared" si="3"/>
        <v>6</v>
      </c>
      <c r="O44" s="68" t="str">
        <f t="shared" si="4"/>
        <v>Away</v>
      </c>
      <c r="P44" s="68" t="str">
        <f t="shared" si="5"/>
        <v>RELK3</v>
      </c>
      <c r="Q44" s="68" t="str">
        <f t="shared" si="6"/>
        <v>ARLN3</v>
      </c>
      <c r="R44" s="68" t="e">
        <f>INDEX(RankPoints!$B$4:$AK$19,$B44+1,MATCH(Results!$I44,RankPoints!$B$4:$AK$4,0))</f>
        <v>#N/A</v>
      </c>
      <c r="S44" s="68" t="e">
        <f>INDEX(RankPoints!$B$4:$AK$19,$B44+1,MATCH(Results!$J44,RankPoints!$B$4:$AK$4,0))</f>
        <v>#N/A</v>
      </c>
      <c r="T44" s="68">
        <f t="shared" si="7"/>
        <v>0</v>
      </c>
      <c r="U44" s="155">
        <f t="shared" si="8"/>
        <v>1</v>
      </c>
      <c r="V44" s="156" t="e">
        <f>1/(1+(10^($X44/'[1]Teams'!$F$3)))</f>
        <v>#N/A</v>
      </c>
      <c r="W44" s="157" t="e">
        <f>1/(1+(10^($Y44/'[1]Teams'!$F$3)))</f>
        <v>#N/A</v>
      </c>
      <c r="X44" s="68" t="e">
        <f t="shared" si="9"/>
        <v>#N/A</v>
      </c>
      <c r="Y44" s="155" t="e">
        <f t="shared" si="10"/>
        <v>#N/A</v>
      </c>
      <c r="Z44" s="68" t="e">
        <f>ROUND($R44+(Teams!$H$2*($T44-$V44)),0)</f>
        <v>#N/A</v>
      </c>
      <c r="AA44" s="158" t="e">
        <f>ROUND($S44+(Teams!$H$2*($U44-$W44)),0)</f>
        <v>#N/A</v>
      </c>
    </row>
    <row r="45" spans="2:27" ht="12.75">
      <c r="B45" s="158">
        <v>3</v>
      </c>
      <c r="C45" s="216" t="s">
        <v>77</v>
      </c>
      <c r="D45" s="171">
        <v>27</v>
      </c>
      <c r="E45" s="175">
        <v>6</v>
      </c>
      <c r="F45" s="221" t="s">
        <v>154</v>
      </c>
      <c r="G45" s="151" t="str">
        <f>INDEX(Teams!$B$5:$H$45,MATCH(Results!$C45,Teams!$B$5:$B$45,0),3)</f>
        <v>Montbenoit Dome</v>
      </c>
      <c r="H45" s="151" t="str">
        <f>INDEX(Teams!$B$5:$H$45,MATCH(Results!$C45,Teams!$B$5:$B$45,0),5)</f>
        <v>Big Eight</v>
      </c>
      <c r="I45" s="152" t="str">
        <f>INDEX(Teams!$B$5:$H$45,MATCH(Results!$C45,Teams!$B$5:$B$45,0),6)</f>
        <v>SAUG</v>
      </c>
      <c r="J45" s="152" t="str">
        <f>INDEX(Teams!$B$5:$H$45,MATCH(Results!$F45,Teams!$B$5:$B$45,0),6)</f>
        <v>NOBL</v>
      </c>
      <c r="K45" s="69" t="str">
        <f t="shared" si="0"/>
        <v>SAUGNOBL</v>
      </c>
      <c r="L45" s="68" t="str">
        <f t="shared" si="1"/>
        <v>SAUG</v>
      </c>
      <c r="M45" s="68">
        <f t="shared" si="2"/>
        <v>1</v>
      </c>
      <c r="N45" s="68">
        <f t="shared" si="3"/>
        <v>21</v>
      </c>
      <c r="O45" s="68" t="str">
        <f t="shared" si="4"/>
        <v>Home</v>
      </c>
      <c r="P45" s="68" t="str">
        <f t="shared" si="5"/>
        <v>SAUG3</v>
      </c>
      <c r="Q45" s="68" t="str">
        <f t="shared" si="6"/>
        <v>NOBL3</v>
      </c>
      <c r="R45" s="68">
        <f>INDEX(RankPoints!$B$4:$AK$19,$B45+1,MATCH(Results!$I45,RankPoints!$B$4:$AK$4,0))</f>
        <v>0</v>
      </c>
      <c r="S45" s="68" t="e">
        <f>INDEX(RankPoints!$B$4:$AK$19,$B45+1,MATCH(Results!$J45,RankPoints!$B$4:$AK$4,0))</f>
        <v>#N/A</v>
      </c>
      <c r="T45" s="68">
        <f t="shared" si="7"/>
        <v>1</v>
      </c>
      <c r="U45" s="155">
        <f t="shared" si="8"/>
        <v>0</v>
      </c>
      <c r="V45" s="156" t="e">
        <f>1/(1+(10^($X45/'[1]Teams'!$F$3)))</f>
        <v>#N/A</v>
      </c>
      <c r="W45" s="157" t="e">
        <f>1/(1+(10^($Y45/'[1]Teams'!$F$3)))</f>
        <v>#N/A</v>
      </c>
      <c r="X45" s="68" t="e">
        <f t="shared" si="9"/>
        <v>#N/A</v>
      </c>
      <c r="Y45" s="155" t="e">
        <f t="shared" si="10"/>
        <v>#N/A</v>
      </c>
      <c r="Z45" s="68" t="e">
        <f>ROUND($R45+(Teams!$H$2*($T45-$V45)),0)</f>
        <v>#N/A</v>
      </c>
      <c r="AA45" s="158" t="e">
        <f>ROUND($S45+(Teams!$H$2*($U45-$W45)),0)</f>
        <v>#N/A</v>
      </c>
    </row>
    <row r="46" spans="2:27" ht="12.75">
      <c r="B46" s="158">
        <v>3</v>
      </c>
      <c r="C46" s="216" t="s">
        <v>76</v>
      </c>
      <c r="D46" s="171">
        <v>16</v>
      </c>
      <c r="E46" s="175">
        <v>14</v>
      </c>
      <c r="F46" s="221" t="s">
        <v>124</v>
      </c>
      <c r="G46" s="151" t="str">
        <f>INDEX(Teams!$B$5:$H$45,MATCH(Results!$C46,Teams!$B$5:$B$45,0),3)</f>
        <v>Bronco Stadium</v>
      </c>
      <c r="H46" s="151" t="str">
        <f>INDEX(Teams!$B$5:$H$45,MATCH(Results!$C46,Teams!$B$5:$B$45,0),5)</f>
        <v>Big Eight</v>
      </c>
      <c r="I46" s="152" t="str">
        <f>INDEX(Teams!$B$5:$H$45,MATCH(Results!$C46,Teams!$B$5:$B$45,0),6)</f>
        <v>SCTT</v>
      </c>
      <c r="J46" s="152" t="str">
        <f>INDEX(Teams!$B$5:$H$45,MATCH(Results!$F46,Teams!$B$5:$B$45,0),6)</f>
        <v>TIMC</v>
      </c>
      <c r="K46" s="69" t="str">
        <f t="shared" si="0"/>
        <v>SCTTTIMC</v>
      </c>
      <c r="L46" s="68" t="str">
        <f t="shared" si="1"/>
        <v>SCTT</v>
      </c>
      <c r="M46" s="68">
        <f t="shared" si="2"/>
        <v>1</v>
      </c>
      <c r="N46" s="68">
        <f t="shared" si="3"/>
        <v>2</v>
      </c>
      <c r="O46" s="68" t="str">
        <f t="shared" si="4"/>
        <v>Home</v>
      </c>
      <c r="P46" s="68" t="str">
        <f t="shared" si="5"/>
        <v>SCTT3</v>
      </c>
      <c r="Q46" s="68" t="str">
        <f t="shared" si="6"/>
        <v>TIMC3</v>
      </c>
      <c r="R46" s="68">
        <f>INDEX(RankPoints!$B$4:$AK$19,$B46+1,MATCH(Results!$I46,RankPoints!$B$4:$AK$4,0))</f>
        <v>1516</v>
      </c>
      <c r="S46" s="68" t="e">
        <f>INDEX(RankPoints!$B$4:$AK$19,$B46+1,MATCH(Results!$J46,RankPoints!$B$4:$AK$4,0))</f>
        <v>#N/A</v>
      </c>
      <c r="T46" s="68">
        <f t="shared" si="7"/>
        <v>1</v>
      </c>
      <c r="U46" s="155">
        <f t="shared" si="8"/>
        <v>0</v>
      </c>
      <c r="V46" s="156" t="e">
        <f>1/(1+(10^($X46/'[1]Teams'!$F$3)))</f>
        <v>#N/A</v>
      </c>
      <c r="W46" s="157" t="e">
        <f>1/(1+(10^($Y46/'[1]Teams'!$F$3)))</f>
        <v>#N/A</v>
      </c>
      <c r="X46" s="68" t="e">
        <f t="shared" si="9"/>
        <v>#N/A</v>
      </c>
      <c r="Y46" s="155" t="e">
        <f t="shared" si="10"/>
        <v>#N/A</v>
      </c>
      <c r="Z46" s="68" t="e">
        <f>ROUND($R46+(Teams!$H$2*($T46-$V46)),0)</f>
        <v>#N/A</v>
      </c>
      <c r="AA46" s="158" t="e">
        <f>ROUND($S46+(Teams!$H$2*($U46-$W46)),0)</f>
        <v>#N/A</v>
      </c>
    </row>
    <row r="47" spans="2:27" ht="12.75">
      <c r="B47" s="158">
        <v>3</v>
      </c>
      <c r="C47" s="216" t="s">
        <v>20</v>
      </c>
      <c r="D47" s="171">
        <v>7</v>
      </c>
      <c r="E47" s="175">
        <v>24</v>
      </c>
      <c r="F47" s="221" t="s">
        <v>248</v>
      </c>
      <c r="G47" s="151" t="str">
        <f>INDEX(Teams!$B$5:$H$45,MATCH(Results!$C47,Teams!$B$5:$B$45,0),3)</f>
        <v>Capital Coliseum</v>
      </c>
      <c r="H47" s="151" t="str">
        <f>INDEX(Teams!$B$5:$H$45,MATCH(Results!$C47,Teams!$B$5:$B$45,0),5)</f>
        <v>Horizon</v>
      </c>
      <c r="I47" s="152" t="str">
        <f>INDEX(Teams!$B$5:$H$45,MATCH(Results!$C47,Teams!$B$5:$B$45,0),6)</f>
        <v>RCU</v>
      </c>
      <c r="J47" s="152" t="str">
        <f>INDEX(Teams!$B$5:$H$45,MATCH(Results!$F47,Teams!$B$5:$B$45,0),6)</f>
        <v>COLD</v>
      </c>
      <c r="K47" s="69" t="str">
        <f t="shared" si="0"/>
        <v>RCUCOLD</v>
      </c>
      <c r="L47" s="68" t="str">
        <f t="shared" si="1"/>
        <v>COLD</v>
      </c>
      <c r="M47" s="68">
        <f t="shared" si="2"/>
        <v>1</v>
      </c>
      <c r="N47" s="68">
        <f t="shared" si="3"/>
        <v>17</v>
      </c>
      <c r="O47" s="68" t="str">
        <f t="shared" si="4"/>
        <v>Away</v>
      </c>
      <c r="P47" s="68" t="str">
        <f t="shared" si="5"/>
        <v>RCU3</v>
      </c>
      <c r="Q47" s="68" t="str">
        <f t="shared" si="6"/>
        <v>COLD3</v>
      </c>
      <c r="R47" s="68">
        <f>INDEX(RankPoints!$B$4:$AK$19,$B47+1,MATCH(Results!$I47,RankPoints!$B$4:$AK$4,0))</f>
        <v>1650</v>
      </c>
      <c r="S47" s="68">
        <f>INDEX(RankPoints!$B$4:$AK$19,$B47+1,MATCH(Results!$J47,RankPoints!$B$4:$AK$4,0))</f>
        <v>1807</v>
      </c>
      <c r="T47" s="68">
        <f t="shared" si="7"/>
        <v>0</v>
      </c>
      <c r="U47" s="155">
        <f t="shared" si="8"/>
        <v>1</v>
      </c>
      <c r="V47" s="156">
        <f>1/(1+(10^($X47/'[1]Teams'!$F$3)))</f>
        <v>0.7117225243427553</v>
      </c>
      <c r="W47" s="157">
        <f>1/(1+(10^($Y47/'[1]Teams'!$F$3)))</f>
        <v>0.28827747565724465</v>
      </c>
      <c r="X47" s="68">
        <f t="shared" si="9"/>
        <v>-157</v>
      </c>
      <c r="Y47" s="155">
        <f t="shared" si="10"/>
        <v>157</v>
      </c>
      <c r="Z47" s="68">
        <f>ROUND($R47+(Teams!$H$2*($T47-$V47)),0)</f>
        <v>1627</v>
      </c>
      <c r="AA47" s="158">
        <f>ROUND($S47+(Teams!$H$2*($U47-$W47)),0)</f>
        <v>1830</v>
      </c>
    </row>
    <row r="48" spans="2:27" ht="12.75">
      <c r="B48" s="158">
        <v>3</v>
      </c>
      <c r="C48" s="216" t="s">
        <v>153</v>
      </c>
      <c r="D48" s="171">
        <v>12</v>
      </c>
      <c r="E48" s="175">
        <v>0</v>
      </c>
      <c r="F48" s="221" t="s">
        <v>145</v>
      </c>
      <c r="G48" s="151" t="str">
        <f>INDEX(Teams!$B$5:$H$45,MATCH(Results!$C48,Teams!$B$5:$B$45,0),3)</f>
        <v>Cheikanwa Stadium</v>
      </c>
      <c r="H48" s="151" t="str">
        <f>INDEX(Teams!$B$5:$H$45,MATCH(Results!$C48,Teams!$B$5:$B$45,0),5)</f>
        <v>Horizon</v>
      </c>
      <c r="I48" s="152" t="str">
        <f>INDEX(Teams!$B$5:$H$45,MATCH(Results!$C48,Teams!$B$5:$B$45,0),6)</f>
        <v>RSTU</v>
      </c>
      <c r="J48" s="152" t="str">
        <f>INDEX(Teams!$B$5:$H$45,MATCH(Results!$F48,Teams!$B$5:$B$45,0),6)</f>
        <v>INDN</v>
      </c>
      <c r="K48" s="69" t="str">
        <f t="shared" si="0"/>
        <v>RSTUINDN</v>
      </c>
      <c r="L48" s="68" t="str">
        <f t="shared" si="1"/>
        <v>RSTU</v>
      </c>
      <c r="M48" s="68">
        <f t="shared" si="2"/>
        <v>1</v>
      </c>
      <c r="N48" s="68">
        <f t="shared" si="3"/>
        <v>12</v>
      </c>
      <c r="O48" s="68" t="str">
        <f t="shared" si="4"/>
        <v>Home</v>
      </c>
      <c r="P48" s="68" t="str">
        <f t="shared" si="5"/>
        <v>RSTU3</v>
      </c>
      <c r="Q48" s="68" t="str">
        <f t="shared" si="6"/>
        <v>INDN3</v>
      </c>
      <c r="R48" s="68" t="e">
        <f>INDEX(RankPoints!$B$4:$AK$19,$B48+1,MATCH(Results!$I48,RankPoints!$B$4:$AK$4,0))</f>
        <v>#N/A</v>
      </c>
      <c r="S48" s="68" t="e">
        <f>INDEX(RankPoints!$B$4:$AK$19,$B48+1,MATCH(Results!$J48,RankPoints!$B$4:$AK$4,0))</f>
        <v>#N/A</v>
      </c>
      <c r="T48" s="68">
        <f t="shared" si="7"/>
        <v>1</v>
      </c>
      <c r="U48" s="155">
        <f t="shared" si="8"/>
        <v>0</v>
      </c>
      <c r="V48" s="156" t="e">
        <f>1/(1+(10^($X48/'[1]Teams'!$F$3)))</f>
        <v>#N/A</v>
      </c>
      <c r="W48" s="157" t="e">
        <f>1/(1+(10^($Y48/'[1]Teams'!$F$3)))</f>
        <v>#N/A</v>
      </c>
      <c r="X48" s="68" t="e">
        <f t="shared" si="9"/>
        <v>#N/A</v>
      </c>
      <c r="Y48" s="155" t="e">
        <f t="shared" si="10"/>
        <v>#N/A</v>
      </c>
      <c r="Z48" s="68" t="e">
        <f>ROUND($R48+(Teams!$H$2*($T48-$V48)),0)</f>
        <v>#N/A</v>
      </c>
      <c r="AA48" s="158" t="e">
        <f>ROUND($S48+(Teams!$H$2*($U48-$W48)),0)</f>
        <v>#N/A</v>
      </c>
    </row>
    <row r="49" spans="2:27" ht="12.75">
      <c r="B49" s="158">
        <v>3</v>
      </c>
      <c r="C49" s="216" t="s">
        <v>21</v>
      </c>
      <c r="D49" s="171">
        <v>13</v>
      </c>
      <c r="E49" s="175">
        <v>23</v>
      </c>
      <c r="F49" s="221" t="s">
        <v>157</v>
      </c>
      <c r="G49" s="151" t="str">
        <f>INDEX(Teams!$B$5:$H$45,MATCH(Results!$C49,Teams!$B$5:$B$45,0),3)</f>
        <v>Finglass Field</v>
      </c>
      <c r="H49" s="151" t="str">
        <f>INDEX(Teams!$B$5:$H$45,MATCH(Results!$C49,Teams!$B$5:$B$45,0),5)</f>
        <v>Horizon</v>
      </c>
      <c r="I49" s="152" t="str">
        <f>INDEX(Teams!$B$5:$H$45,MATCH(Results!$C49,Teams!$B$5:$B$45,0),6)</f>
        <v>STON</v>
      </c>
      <c r="J49" s="152" t="str">
        <f>INDEX(Teams!$B$5:$H$45,MATCH(Results!$F49,Teams!$B$5:$B$45,0),6)</f>
        <v>WIEN</v>
      </c>
      <c r="K49" s="69" t="str">
        <f t="shared" si="0"/>
        <v>STONWIEN</v>
      </c>
      <c r="L49" s="68" t="str">
        <f t="shared" si="1"/>
        <v>WIEN</v>
      </c>
      <c r="M49" s="68">
        <f t="shared" si="2"/>
        <v>1</v>
      </c>
      <c r="N49" s="68">
        <f t="shared" si="3"/>
        <v>10</v>
      </c>
      <c r="O49" s="68" t="str">
        <f t="shared" si="4"/>
        <v>Away</v>
      </c>
      <c r="P49" s="68" t="str">
        <f t="shared" si="5"/>
        <v>STON3</v>
      </c>
      <c r="Q49" s="68" t="str">
        <f t="shared" si="6"/>
        <v>WIEN3</v>
      </c>
      <c r="R49" s="68">
        <f>INDEX(RankPoints!$B$4:$AK$19,$B49+1,MATCH(Results!$I49,RankPoints!$B$4:$AK$4,0))</f>
        <v>1380</v>
      </c>
      <c r="S49" s="68" t="e">
        <f>INDEX(RankPoints!$B$4:$AK$19,$B49+1,MATCH(Results!$J49,RankPoints!$B$4:$AK$4,0))</f>
        <v>#N/A</v>
      </c>
      <c r="T49" s="68">
        <f t="shared" si="7"/>
        <v>0</v>
      </c>
      <c r="U49" s="155">
        <f t="shared" si="8"/>
        <v>1</v>
      </c>
      <c r="V49" s="156" t="e">
        <f>1/(1+(10^($X49/'[1]Teams'!$F$3)))</f>
        <v>#N/A</v>
      </c>
      <c r="W49" s="157" t="e">
        <f>1/(1+(10^($Y49/'[1]Teams'!$F$3)))</f>
        <v>#N/A</v>
      </c>
      <c r="X49" s="68" t="e">
        <f t="shared" si="9"/>
        <v>#N/A</v>
      </c>
      <c r="Y49" s="155" t="e">
        <f t="shared" si="10"/>
        <v>#N/A</v>
      </c>
      <c r="Z49" s="68" t="e">
        <f>ROUND($R49+(Teams!$H$2*($T49-$V49)),0)</f>
        <v>#N/A</v>
      </c>
      <c r="AA49" s="158" t="e">
        <f>ROUND($S49+(Teams!$H$2*($U49-$W49)),0)</f>
        <v>#N/A</v>
      </c>
    </row>
    <row r="50" spans="2:27" ht="12.75">
      <c r="B50" s="158">
        <v>3</v>
      </c>
      <c r="C50" s="216" t="s">
        <v>151</v>
      </c>
      <c r="D50" s="171">
        <v>37</v>
      </c>
      <c r="E50" s="175">
        <v>34</v>
      </c>
      <c r="F50" s="221" t="s">
        <v>149</v>
      </c>
      <c r="G50" s="151" t="str">
        <f>INDEX(Teams!$B$5:$H$45,MATCH(Results!$C50,Teams!$B$5:$B$45,0),3)</f>
        <v>Olympic Stadiums</v>
      </c>
      <c r="H50" s="151" t="str">
        <f>INDEX(Teams!$B$5:$H$45,MATCH(Results!$C50,Teams!$B$5:$B$45,0),5)</f>
        <v>Horizon</v>
      </c>
      <c r="I50" s="152" t="str">
        <f>INDEX(Teams!$B$5:$H$45,MATCH(Results!$C50,Teams!$B$5:$B$45,0),6)</f>
        <v>OLYM</v>
      </c>
      <c r="J50" s="152" t="str">
        <f>INDEX(Teams!$B$5:$H$45,MATCH(Results!$F50,Teams!$B$5:$B$45,0),6)</f>
        <v>USPN</v>
      </c>
      <c r="K50" s="69" t="str">
        <f t="shared" si="0"/>
        <v>OLYMUSPN</v>
      </c>
      <c r="L50" s="68" t="str">
        <f t="shared" si="1"/>
        <v>OLYM</v>
      </c>
      <c r="M50" s="68">
        <f t="shared" si="2"/>
        <v>1</v>
      </c>
      <c r="N50" s="68">
        <f t="shared" si="3"/>
        <v>3</v>
      </c>
      <c r="O50" s="68" t="str">
        <f t="shared" si="4"/>
        <v>Home</v>
      </c>
      <c r="P50" s="68" t="str">
        <f t="shared" si="5"/>
        <v>OLYM3</v>
      </c>
      <c r="Q50" s="68" t="str">
        <f t="shared" si="6"/>
        <v>USPN3</v>
      </c>
      <c r="R50" s="68" t="e">
        <f>INDEX(RankPoints!$B$4:$AK$19,$B50+1,MATCH(Results!$I50,RankPoints!$B$4:$AK$4,0))</f>
        <v>#N/A</v>
      </c>
      <c r="S50" s="68" t="e">
        <f>INDEX(RankPoints!$B$4:$AK$19,$B50+1,MATCH(Results!$J50,RankPoints!$B$4:$AK$4,0))</f>
        <v>#N/A</v>
      </c>
      <c r="T50" s="68">
        <f t="shared" si="7"/>
        <v>1</v>
      </c>
      <c r="U50" s="155">
        <f t="shared" si="8"/>
        <v>0</v>
      </c>
      <c r="V50" s="156" t="e">
        <f>1/(1+(10^($X50/'[1]Teams'!$F$3)))</f>
        <v>#N/A</v>
      </c>
      <c r="W50" s="157" t="e">
        <f>1/(1+(10^($Y50/'[1]Teams'!$F$3)))</f>
        <v>#N/A</v>
      </c>
      <c r="X50" s="68" t="e">
        <f t="shared" si="9"/>
        <v>#N/A</v>
      </c>
      <c r="Y50" s="155" t="e">
        <f t="shared" si="10"/>
        <v>#N/A</v>
      </c>
      <c r="Z50" s="68" t="e">
        <f>ROUND($R50+(Teams!$H$2*($T50-$V50)),0)</f>
        <v>#N/A</v>
      </c>
      <c r="AA50" s="158" t="e">
        <f>ROUND($S50+(Teams!$H$2*($U50-$W50)),0)</f>
        <v>#N/A</v>
      </c>
    </row>
    <row r="51" spans="2:27" ht="12.75">
      <c r="B51" s="158">
        <v>3</v>
      </c>
      <c r="C51" s="216" t="s">
        <v>155</v>
      </c>
      <c r="D51" s="171">
        <v>37</v>
      </c>
      <c r="E51" s="175">
        <v>14</v>
      </c>
      <c r="F51" s="221" t="s">
        <v>121</v>
      </c>
      <c r="G51" s="151" t="str">
        <f>INDEX(Teams!$B$5:$H$45,MATCH(Results!$C51,Teams!$B$5:$B$45,0),3)</f>
        <v>East Kilbride Area</v>
      </c>
      <c r="H51" s="151" t="str">
        <f>INDEX(Teams!$B$5:$H$45,MATCH(Results!$C51,Teams!$B$5:$B$45,0),5)</f>
        <v>Mineral</v>
      </c>
      <c r="I51" s="152" t="str">
        <f>INDEX(Teams!$B$5:$H$45,MATCH(Results!$C51,Teams!$B$5:$B$45,0),6)</f>
        <v>EKIL</v>
      </c>
      <c r="J51" s="152" t="str">
        <f>INDEX(Teams!$B$5:$H$45,MATCH(Results!$F51,Teams!$B$5:$B$45,0),6)</f>
        <v>CRGA</v>
      </c>
      <c r="K51" s="69" t="str">
        <f t="shared" si="0"/>
        <v>EKILCRGA</v>
      </c>
      <c r="L51" s="68" t="str">
        <f t="shared" si="1"/>
        <v>EKIL</v>
      </c>
      <c r="M51" s="68">
        <f t="shared" si="2"/>
        <v>1</v>
      </c>
      <c r="N51" s="68">
        <f t="shared" si="3"/>
        <v>23</v>
      </c>
      <c r="O51" s="68" t="str">
        <f t="shared" si="4"/>
        <v>Home</v>
      </c>
      <c r="P51" s="68" t="str">
        <f t="shared" si="5"/>
        <v>EKIL3</v>
      </c>
      <c r="Q51" s="68" t="str">
        <f t="shared" si="6"/>
        <v>CRGA3</v>
      </c>
      <c r="R51" s="68" t="e">
        <f>INDEX(RankPoints!$B$4:$AK$19,$B51+1,MATCH(Results!$I51,RankPoints!$B$4:$AK$4,0))</f>
        <v>#N/A</v>
      </c>
      <c r="S51" s="68" t="e">
        <f>INDEX(RankPoints!$B$4:$AK$19,$B51+1,MATCH(Results!$J51,RankPoints!$B$4:$AK$4,0))</f>
        <v>#N/A</v>
      </c>
      <c r="T51" s="68">
        <f t="shared" si="7"/>
        <v>1</v>
      </c>
      <c r="U51" s="155">
        <f t="shared" si="8"/>
        <v>0</v>
      </c>
      <c r="V51" s="156" t="e">
        <f>1/(1+(10^($X51/'[1]Teams'!$F$3)))</f>
        <v>#N/A</v>
      </c>
      <c r="W51" s="157" t="e">
        <f>1/(1+(10^($Y51/'[1]Teams'!$F$3)))</f>
        <v>#N/A</v>
      </c>
      <c r="X51" s="68" t="e">
        <f t="shared" si="9"/>
        <v>#N/A</v>
      </c>
      <c r="Y51" s="155" t="e">
        <f t="shared" si="10"/>
        <v>#N/A</v>
      </c>
      <c r="Z51" s="68" t="e">
        <f>ROUND($R51+(Teams!$H$2*($T51-$V51)),0)</f>
        <v>#N/A</v>
      </c>
      <c r="AA51" s="158" t="e">
        <f>ROUND($S51+(Teams!$H$2*($U51-$W51)),0)</f>
        <v>#N/A</v>
      </c>
    </row>
    <row r="52" spans="2:27" ht="12.75">
      <c r="B52" s="158">
        <v>3</v>
      </c>
      <c r="C52" s="216" t="s">
        <v>150</v>
      </c>
      <c r="D52" s="171">
        <v>17</v>
      </c>
      <c r="E52" s="175">
        <v>14</v>
      </c>
      <c r="F52" s="221" t="s">
        <v>156</v>
      </c>
      <c r="G52" s="151" t="str">
        <f>INDEX(Teams!$B$5:$H$45,MATCH(Results!$C52,Teams!$B$5:$B$45,0),3)</f>
        <v>Roger Jalston Memorial Stadium</v>
      </c>
      <c r="H52" s="151" t="str">
        <f>INDEX(Teams!$B$5:$H$45,MATCH(Results!$C52,Teams!$B$5:$B$45,0),5)</f>
        <v>Mineral</v>
      </c>
      <c r="I52" s="152" t="str">
        <f>INDEX(Teams!$B$5:$H$45,MATCH(Results!$C52,Teams!$B$5:$B$45,0),6)</f>
        <v>RICH</v>
      </c>
      <c r="J52" s="152" t="str">
        <f>INDEX(Teams!$B$5:$H$45,MATCH(Results!$F52,Teams!$B$5:$B$45,0),6)</f>
        <v>BLUE</v>
      </c>
      <c r="K52" s="69" t="str">
        <f t="shared" si="0"/>
        <v>RICHBLUE</v>
      </c>
      <c r="L52" s="68" t="str">
        <f t="shared" si="1"/>
        <v>RICH</v>
      </c>
      <c r="M52" s="68">
        <f t="shared" si="2"/>
        <v>1</v>
      </c>
      <c r="N52" s="68">
        <f t="shared" si="3"/>
        <v>3</v>
      </c>
      <c r="O52" s="68" t="str">
        <f t="shared" si="4"/>
        <v>Home</v>
      </c>
      <c r="P52" s="68" t="str">
        <f t="shared" si="5"/>
        <v>RICH3</v>
      </c>
      <c r="Q52" s="68" t="str">
        <f t="shared" si="6"/>
        <v>BLUE3</v>
      </c>
      <c r="R52" s="68" t="e">
        <f>INDEX(RankPoints!$B$4:$AK$19,$B52+1,MATCH(Results!$I52,RankPoints!$B$4:$AK$4,0))</f>
        <v>#N/A</v>
      </c>
      <c r="S52" s="68" t="e">
        <f>INDEX(RankPoints!$B$4:$AK$19,$B52+1,MATCH(Results!$J52,RankPoints!$B$4:$AK$4,0))</f>
        <v>#N/A</v>
      </c>
      <c r="T52" s="68">
        <f t="shared" si="7"/>
        <v>1</v>
      </c>
      <c r="U52" s="155">
        <f t="shared" si="8"/>
        <v>0</v>
      </c>
      <c r="V52" s="156" t="e">
        <f>1/(1+(10^($X52/'[1]Teams'!$F$3)))</f>
        <v>#N/A</v>
      </c>
      <c r="W52" s="157" t="e">
        <f>1/(1+(10^($Y52/'[1]Teams'!$F$3)))</f>
        <v>#N/A</v>
      </c>
      <c r="X52" s="68" t="e">
        <f t="shared" si="9"/>
        <v>#N/A</v>
      </c>
      <c r="Y52" s="155" t="e">
        <f t="shared" si="10"/>
        <v>#N/A</v>
      </c>
      <c r="Z52" s="68" t="e">
        <f>ROUND($R52+(Teams!$H$2*($T52-$V52)),0)</f>
        <v>#N/A</v>
      </c>
      <c r="AA52" s="158" t="e">
        <f>ROUND($S52+(Teams!$H$2*($U52-$W52)),0)</f>
        <v>#N/A</v>
      </c>
    </row>
    <row r="53" spans="2:27" ht="12.75">
      <c r="B53" s="158">
        <v>3</v>
      </c>
      <c r="C53" s="216" t="s">
        <v>266</v>
      </c>
      <c r="D53" s="171">
        <v>17</v>
      </c>
      <c r="E53" s="175">
        <v>3</v>
      </c>
      <c r="F53" s="221" t="s">
        <v>80</v>
      </c>
      <c r="G53" s="151" t="str">
        <f>INDEX(Teams!$B$5:$H$45,MATCH(Results!$C53,Teams!$B$5:$B$45,0),3)</f>
        <v>ATD Park</v>
      </c>
      <c r="H53" s="151" t="str">
        <f>INDEX(Teams!$B$5:$H$45,MATCH(Results!$C53,Teams!$B$5:$B$45,0),5)</f>
        <v>Mineral</v>
      </c>
      <c r="I53" s="152" t="str">
        <f>INDEX(Teams!$B$5:$H$45,MATCH(Results!$C53,Teams!$B$5:$B$45,0),6)</f>
        <v>UPSL</v>
      </c>
      <c r="J53" s="152" t="str">
        <f>INDEX(Teams!$B$5:$H$45,MATCH(Results!$F53,Teams!$B$5:$B$45,0),6)</f>
        <v>OCSU</v>
      </c>
      <c r="K53" s="69" t="str">
        <f t="shared" si="0"/>
        <v>UPSLOCSU</v>
      </c>
      <c r="L53" s="68" t="str">
        <f t="shared" si="1"/>
        <v>UPSL</v>
      </c>
      <c r="M53" s="68">
        <f t="shared" si="2"/>
        <v>1</v>
      </c>
      <c r="N53" s="68">
        <f t="shared" si="3"/>
        <v>14</v>
      </c>
      <c r="O53" s="68" t="str">
        <f t="shared" si="4"/>
        <v>Home</v>
      </c>
      <c r="P53" s="68" t="str">
        <f t="shared" si="5"/>
        <v>UPSL3</v>
      </c>
      <c r="Q53" s="68" t="str">
        <f t="shared" si="6"/>
        <v>OCSU3</v>
      </c>
      <c r="R53" s="68">
        <f>INDEX(RankPoints!$B$4:$AK$19,$B53+1,MATCH(Results!$I53,RankPoints!$B$4:$AK$4,0))</f>
        <v>1500</v>
      </c>
      <c r="S53" s="68">
        <f>INDEX(RankPoints!$B$4:$AK$19,$B53+1,MATCH(Results!$J53,RankPoints!$B$4:$AK$4,0))</f>
        <v>1500</v>
      </c>
      <c r="T53" s="68">
        <f t="shared" si="7"/>
        <v>1</v>
      </c>
      <c r="U53" s="155">
        <f t="shared" si="8"/>
        <v>0</v>
      </c>
      <c r="V53" s="156">
        <f>1/(1+(10^($X53/'[1]Teams'!$F$3)))</f>
        <v>0.5</v>
      </c>
      <c r="W53" s="157">
        <f>1/(1+(10^($Y53/'[1]Teams'!$F$3)))</f>
        <v>0.5</v>
      </c>
      <c r="X53" s="68">
        <f t="shared" si="9"/>
        <v>0</v>
      </c>
      <c r="Y53" s="155">
        <f t="shared" si="10"/>
        <v>0</v>
      </c>
      <c r="Z53" s="68">
        <f>ROUND($R53+(Teams!$H$2*($T53-$V53)),0)</f>
        <v>1516</v>
      </c>
      <c r="AA53" s="158">
        <f>ROUND($S53+(Teams!$H$2*($U53-$W53)),0)</f>
        <v>1484</v>
      </c>
    </row>
    <row r="54" spans="2:27" ht="12.75">
      <c r="B54" s="158">
        <v>3</v>
      </c>
      <c r="C54" s="216" t="s">
        <v>251</v>
      </c>
      <c r="D54" s="171">
        <v>10</v>
      </c>
      <c r="E54" s="175">
        <v>12</v>
      </c>
      <c r="F54" s="221" t="s">
        <v>146</v>
      </c>
      <c r="G54" s="151" t="str">
        <f>INDEX(Teams!$B$5:$H$45,MATCH(Results!$C54,Teams!$B$5:$B$45,0),3)</f>
        <v>The Nest of Fire</v>
      </c>
      <c r="H54" s="151" t="str">
        <f>INDEX(Teams!$B$5:$H$45,MATCH(Results!$C54,Teams!$B$5:$B$45,0),5)</f>
        <v>Mineral</v>
      </c>
      <c r="I54" s="152" t="str">
        <f>INDEX(Teams!$B$5:$H$45,MATCH(Results!$C54,Teams!$B$5:$B$45,0),6)</f>
        <v>HRLP</v>
      </c>
      <c r="J54" s="152" t="str">
        <f>INDEX(Teams!$B$5:$H$45,MATCH(Results!$F54,Teams!$B$5:$B$45,0),6)</f>
        <v>WSIT</v>
      </c>
      <c r="K54" s="69" t="str">
        <f t="shared" si="0"/>
        <v>HRLPWSIT</v>
      </c>
      <c r="L54" s="68" t="str">
        <f t="shared" si="1"/>
        <v>WSIT</v>
      </c>
      <c r="M54" s="68">
        <f t="shared" si="2"/>
        <v>1</v>
      </c>
      <c r="N54" s="68">
        <f t="shared" si="3"/>
        <v>2</v>
      </c>
      <c r="O54" s="68" t="str">
        <f t="shared" si="4"/>
        <v>Away</v>
      </c>
      <c r="P54" s="68" t="str">
        <f t="shared" si="5"/>
        <v>HRLP3</v>
      </c>
      <c r="Q54" s="68" t="str">
        <f t="shared" si="6"/>
        <v>WSIT3</v>
      </c>
      <c r="R54" s="68" t="e">
        <f>INDEX(RankPoints!$B$4:$AK$19,$B54+1,MATCH(Results!$I54,RankPoints!$B$4:$AK$4,0))</f>
        <v>#N/A</v>
      </c>
      <c r="S54" s="68" t="e">
        <f>INDEX(RankPoints!$B$4:$AK$19,$B54+1,MATCH(Results!$J54,RankPoints!$B$4:$AK$4,0))</f>
        <v>#N/A</v>
      </c>
      <c r="T54" s="68">
        <f t="shared" si="7"/>
        <v>0</v>
      </c>
      <c r="U54" s="155">
        <f t="shared" si="8"/>
        <v>1</v>
      </c>
      <c r="V54" s="156" t="e">
        <f>1/(1+(10^($X54/'[1]Teams'!$F$3)))</f>
        <v>#N/A</v>
      </c>
      <c r="W54" s="157" t="e">
        <f>1/(1+(10^($Y54/'[1]Teams'!$F$3)))</f>
        <v>#N/A</v>
      </c>
      <c r="X54" s="68" t="e">
        <f t="shared" si="9"/>
        <v>#N/A</v>
      </c>
      <c r="Y54" s="155" t="e">
        <f t="shared" si="10"/>
        <v>#N/A</v>
      </c>
      <c r="Z54" s="68" t="e">
        <f>ROUND($R54+(Teams!$H$2*($T54-$V54)),0)</f>
        <v>#N/A</v>
      </c>
      <c r="AA54" s="158" t="e">
        <f>ROUND($S54+(Teams!$H$2*($U54-$W54)),0)</f>
        <v>#N/A</v>
      </c>
    </row>
    <row r="55" spans="2:27" ht="12.75">
      <c r="B55" s="158">
        <v>3</v>
      </c>
      <c r="C55" s="216" t="s">
        <v>117</v>
      </c>
      <c r="D55" s="171">
        <v>6</v>
      </c>
      <c r="E55" s="175">
        <v>20</v>
      </c>
      <c r="F55" s="221" t="s">
        <v>269</v>
      </c>
      <c r="G55" s="151" t="str">
        <f>INDEX(Teams!$B$5:$H$45,MATCH(Results!$C55,Teams!$B$5:$B$45,0),3)</f>
        <v>Rimben Park</v>
      </c>
      <c r="H55" s="151" t="str">
        <f>INDEX(Teams!$B$5:$H$45,MATCH(Results!$C55,Teams!$B$5:$B$45,0),5)</f>
        <v>Sequoia</v>
      </c>
      <c r="I55" s="152" t="str">
        <f>INDEX(Teams!$B$5:$H$45,MATCH(Results!$C55,Teams!$B$5:$B$45,0),6)</f>
        <v>ALUT</v>
      </c>
      <c r="J55" s="152" t="str">
        <f>INDEX(Teams!$B$5:$H$45,MATCH(Results!$F55,Teams!$B$5:$B$45,0),6)</f>
        <v>STJN</v>
      </c>
      <c r="K55" s="69" t="str">
        <f t="shared" si="0"/>
        <v>ALUTSTJN</v>
      </c>
      <c r="L55" s="68" t="str">
        <f t="shared" si="1"/>
        <v>STJN</v>
      </c>
      <c r="M55" s="68">
        <f t="shared" si="2"/>
        <v>1</v>
      </c>
      <c r="N55" s="68">
        <f t="shared" si="3"/>
        <v>14</v>
      </c>
      <c r="O55" s="68" t="str">
        <f t="shared" si="4"/>
        <v>Away</v>
      </c>
      <c r="P55" s="68" t="str">
        <f t="shared" si="5"/>
        <v>ALUT3</v>
      </c>
      <c r="Q55" s="68" t="str">
        <f t="shared" si="6"/>
        <v>STJN3</v>
      </c>
      <c r="R55" s="68" t="e">
        <f>INDEX(RankPoints!$B$4:$AK$19,$B55+1,MATCH(Results!$I55,RankPoints!$B$4:$AK$4,0))</f>
        <v>#N/A</v>
      </c>
      <c r="S55" s="68">
        <f>INDEX(RankPoints!$B$4:$AK$19,$B55+1,MATCH(Results!$J55,RankPoints!$B$4:$AK$4,0))</f>
        <v>1599</v>
      </c>
      <c r="T55" s="68">
        <f t="shared" si="7"/>
        <v>0</v>
      </c>
      <c r="U55" s="155">
        <f t="shared" si="8"/>
        <v>1</v>
      </c>
      <c r="V55" s="156" t="e">
        <f>1/(1+(10^($X55/'[1]Teams'!$F$3)))</f>
        <v>#N/A</v>
      </c>
      <c r="W55" s="157" t="e">
        <f>1/(1+(10^($Y55/'[1]Teams'!$F$3)))</f>
        <v>#N/A</v>
      </c>
      <c r="X55" s="68" t="e">
        <f t="shared" si="9"/>
        <v>#N/A</v>
      </c>
      <c r="Y55" s="155" t="e">
        <f t="shared" si="10"/>
        <v>#N/A</v>
      </c>
      <c r="Z55" s="68" t="e">
        <f>ROUND($R55+(Teams!$H$2*($T55-$V55)),0)</f>
        <v>#N/A</v>
      </c>
      <c r="AA55" s="158" t="e">
        <f>ROUND($S55+(Teams!$H$2*($U55-$W55)),0)</f>
        <v>#N/A</v>
      </c>
    </row>
    <row r="56" spans="2:27" ht="12.75">
      <c r="B56" s="158">
        <v>3</v>
      </c>
      <c r="C56" s="216" t="s">
        <v>19</v>
      </c>
      <c r="D56" s="171">
        <v>27</v>
      </c>
      <c r="E56" s="175">
        <v>10</v>
      </c>
      <c r="F56" s="221" t="s">
        <v>265</v>
      </c>
      <c r="G56" s="151" t="str">
        <f>INDEX(Teams!$B$5:$H$45,MATCH(Results!$C56,Teams!$B$5:$B$45,0),3)</f>
        <v>Tiegemburg Park</v>
      </c>
      <c r="H56" s="151" t="str">
        <f>INDEX(Teams!$B$5:$H$45,MATCH(Results!$C56,Teams!$B$5:$B$45,0),5)</f>
        <v>Sequoia</v>
      </c>
      <c r="I56" s="152" t="str">
        <f>INDEX(Teams!$B$5:$H$45,MATCH(Results!$C56,Teams!$B$5:$B$45,0),6)</f>
        <v>ALZD</v>
      </c>
      <c r="J56" s="152" t="str">
        <f>INDEX(Teams!$B$5:$H$45,MATCH(Results!$F56,Teams!$B$5:$B$45,0),6)</f>
        <v>ACSP</v>
      </c>
      <c r="K56" s="69" t="str">
        <f t="shared" si="0"/>
        <v>ALZDACSP</v>
      </c>
      <c r="L56" s="68" t="str">
        <f t="shared" si="1"/>
        <v>ALZD</v>
      </c>
      <c r="M56" s="68">
        <f t="shared" si="2"/>
        <v>1</v>
      </c>
      <c r="N56" s="68">
        <f t="shared" si="3"/>
        <v>17</v>
      </c>
      <c r="O56" s="68" t="str">
        <f t="shared" si="4"/>
        <v>Home</v>
      </c>
      <c r="P56" s="68" t="str">
        <f t="shared" si="5"/>
        <v>ALZD3</v>
      </c>
      <c r="Q56" s="68" t="str">
        <f t="shared" si="6"/>
        <v>ACSP3</v>
      </c>
      <c r="R56" s="68">
        <f>INDEX(RankPoints!$B$4:$AK$19,$B56+1,MATCH(Results!$I56,RankPoints!$B$4:$AK$4,0))</f>
        <v>1500</v>
      </c>
      <c r="S56" s="68" t="e">
        <f>INDEX(RankPoints!$B$4:$AK$19,$B56+1,MATCH(Results!$J56,RankPoints!$B$4:$AK$4,0))</f>
        <v>#N/A</v>
      </c>
      <c r="T56" s="68">
        <f t="shared" si="7"/>
        <v>1</v>
      </c>
      <c r="U56" s="155">
        <f t="shared" si="8"/>
        <v>0</v>
      </c>
      <c r="V56" s="156" t="e">
        <f>1/(1+(10^($X56/'[1]Teams'!$F$3)))</f>
        <v>#N/A</v>
      </c>
      <c r="W56" s="157" t="e">
        <f>1/(1+(10^($Y56/'[1]Teams'!$F$3)))</f>
        <v>#N/A</v>
      </c>
      <c r="X56" s="68" t="e">
        <f t="shared" si="9"/>
        <v>#N/A</v>
      </c>
      <c r="Y56" s="155" t="e">
        <f t="shared" si="10"/>
        <v>#N/A</v>
      </c>
      <c r="Z56" s="68" t="e">
        <f>ROUND($R56+(Teams!$H$2*($T56-$V56)),0)</f>
        <v>#N/A</v>
      </c>
      <c r="AA56" s="158" t="e">
        <f>ROUND($S56+(Teams!$H$2*($U56-$W56)),0)</f>
        <v>#N/A</v>
      </c>
    </row>
    <row r="57" spans="2:27" ht="12.75">
      <c r="B57" s="158">
        <v>3</v>
      </c>
      <c r="C57" s="216" t="s">
        <v>112</v>
      </c>
      <c r="D57" s="171">
        <v>14</v>
      </c>
      <c r="E57" s="175">
        <v>24</v>
      </c>
      <c r="F57" s="221" t="s">
        <v>79</v>
      </c>
      <c r="G57" s="151" t="str">
        <f>INDEX(Teams!$B$5:$H$45,MATCH(Results!$C57,Teams!$B$5:$B$45,0),3)</f>
        <v>George Litchko Stadium</v>
      </c>
      <c r="H57" s="151" t="str">
        <f>INDEX(Teams!$B$5:$H$45,MATCH(Results!$C57,Teams!$B$5:$B$45,0),5)</f>
        <v>Sequoia</v>
      </c>
      <c r="I57" s="152" t="str">
        <f>INDEX(Teams!$B$5:$H$45,MATCH(Results!$C57,Teams!$B$5:$B$45,0),6)</f>
        <v>FHST</v>
      </c>
      <c r="J57" s="152" t="str">
        <f>INDEX(Teams!$B$5:$H$45,MATCH(Results!$F57,Teams!$B$5:$B$45,0),6)</f>
        <v>RVMD</v>
      </c>
      <c r="K57" s="69" t="str">
        <f t="shared" si="0"/>
        <v>FHSTRVMD</v>
      </c>
      <c r="L57" s="68" t="str">
        <f t="shared" si="1"/>
        <v>RVMD</v>
      </c>
      <c r="M57" s="68">
        <f t="shared" si="2"/>
        <v>1</v>
      </c>
      <c r="N57" s="68">
        <f t="shared" si="3"/>
        <v>10</v>
      </c>
      <c r="O57" s="68" t="str">
        <f t="shared" si="4"/>
        <v>Away</v>
      </c>
      <c r="P57" s="68" t="str">
        <f t="shared" si="5"/>
        <v>FHST3</v>
      </c>
      <c r="Q57" s="68" t="str">
        <f t="shared" si="6"/>
        <v>RVMD3</v>
      </c>
      <c r="R57" s="68">
        <f>INDEX(RankPoints!$B$4:$AK$19,$B57+1,MATCH(Results!$I57,RankPoints!$B$4:$AK$4,0))</f>
        <v>1546</v>
      </c>
      <c r="S57" s="68">
        <f>INDEX(RankPoints!$B$4:$AK$19,$B57+1,MATCH(Results!$J57,RankPoints!$B$4:$AK$4,0))</f>
        <v>-1545</v>
      </c>
      <c r="T57" s="68">
        <f t="shared" si="7"/>
        <v>0</v>
      </c>
      <c r="U57" s="155">
        <f t="shared" si="8"/>
        <v>1</v>
      </c>
      <c r="V57" s="156">
        <f>1/(1+(10^($X57/'[1]Teams'!$F$3)))</f>
        <v>1.8728370479423606E-08</v>
      </c>
      <c r="W57" s="157">
        <f>1/(1+(10^($Y57/'[1]Teams'!$F$3)))</f>
        <v>0.9999999812716295</v>
      </c>
      <c r="X57" s="68">
        <f t="shared" si="9"/>
        <v>3091</v>
      </c>
      <c r="Y57" s="155">
        <f t="shared" si="10"/>
        <v>-3091</v>
      </c>
      <c r="Z57" s="68">
        <f>ROUND($R57+(Teams!$H$2*($T57-$V57)),0)</f>
        <v>1546</v>
      </c>
      <c r="AA57" s="158">
        <f>ROUND($S57+(Teams!$H$2*($U57-$W57)),0)</f>
        <v>-1545</v>
      </c>
    </row>
    <row r="58" spans="2:27" ht="12.75">
      <c r="B58" s="158">
        <v>3</v>
      </c>
      <c r="C58" s="216" t="s">
        <v>119</v>
      </c>
      <c r="D58" s="171">
        <v>3</v>
      </c>
      <c r="E58" s="175">
        <v>33</v>
      </c>
      <c r="F58" s="221" t="s">
        <v>111</v>
      </c>
      <c r="G58" s="151" t="str">
        <f>INDEX(Teams!$B$5:$H$45,MATCH(Results!$C58,Teams!$B$5:$B$45,0),3)</f>
        <v>Parah Dome</v>
      </c>
      <c r="H58" s="151" t="str">
        <f>INDEX(Teams!$B$5:$H$45,MATCH(Results!$C58,Teams!$B$5:$B$45,0),5)</f>
        <v>Sequoia</v>
      </c>
      <c r="I58" s="152" t="str">
        <f>INDEX(Teams!$B$5:$H$45,MATCH(Results!$C58,Teams!$B$5:$B$45,0),6)</f>
        <v>NETT</v>
      </c>
      <c r="J58" s="152" t="str">
        <f>INDEX(Teams!$B$5:$H$45,MATCH(Results!$F58,Teams!$B$5:$B$45,0),6)</f>
        <v>NRDN</v>
      </c>
      <c r="K58" s="69" t="str">
        <f t="shared" si="0"/>
        <v>NETTNRDN</v>
      </c>
      <c r="L58" s="68" t="str">
        <f t="shared" si="1"/>
        <v>NRDN</v>
      </c>
      <c r="M58" s="68">
        <f t="shared" si="2"/>
        <v>1</v>
      </c>
      <c r="N58" s="68">
        <f t="shared" si="3"/>
        <v>30</v>
      </c>
      <c r="O58" s="68" t="str">
        <f t="shared" si="4"/>
        <v>Away</v>
      </c>
      <c r="P58" s="68" t="str">
        <f t="shared" si="5"/>
        <v>NETT3</v>
      </c>
      <c r="Q58" s="68" t="str">
        <f t="shared" si="6"/>
        <v>NRDN3</v>
      </c>
      <c r="R58" s="68" t="e">
        <f>INDEX(RankPoints!$B$4:$AK$19,$B58+1,MATCH(Results!$I58,RankPoints!$B$4:$AK$4,0))</f>
        <v>#N/A</v>
      </c>
      <c r="S58" s="68">
        <f>INDEX(RankPoints!$B$4:$AK$19,$B58+1,MATCH(Results!$J58,RankPoints!$B$4:$AK$4,0))</f>
        <v>21</v>
      </c>
      <c r="T58" s="68">
        <f t="shared" si="7"/>
        <v>0</v>
      </c>
      <c r="U58" s="155">
        <f t="shared" si="8"/>
        <v>1</v>
      </c>
      <c r="V58" s="156" t="e">
        <f>1/(1+(10^($X58/'[1]Teams'!$F$3)))</f>
        <v>#N/A</v>
      </c>
      <c r="W58" s="157" t="e">
        <f>1/(1+(10^($Y58/'[1]Teams'!$F$3)))</f>
        <v>#N/A</v>
      </c>
      <c r="X58" s="68" t="e">
        <f t="shared" si="9"/>
        <v>#N/A</v>
      </c>
      <c r="Y58" s="155" t="e">
        <f t="shared" si="10"/>
        <v>#N/A</v>
      </c>
      <c r="Z58" s="68" t="e">
        <f>ROUND($R58+(Teams!$H$2*($T58-$V58)),0)</f>
        <v>#N/A</v>
      </c>
      <c r="AA58" s="158" t="e">
        <f>ROUND($S58+(Teams!$H$2*($U58-$W58)),0)</f>
        <v>#N/A</v>
      </c>
    </row>
    <row r="59" spans="2:27" ht="12.75">
      <c r="B59" s="158">
        <v>3</v>
      </c>
      <c r="C59" s="216" t="s">
        <v>78</v>
      </c>
      <c r="D59" s="171">
        <v>17</v>
      </c>
      <c r="E59" s="175">
        <v>7</v>
      </c>
      <c r="F59" s="221" t="s">
        <v>152</v>
      </c>
      <c r="G59" s="151" t="str">
        <f>INDEX(Teams!$B$5:$H$45,MATCH(Results!$C59,Teams!$B$5:$B$45,0),3)</f>
        <v>Red Plains Stadium</v>
      </c>
      <c r="H59" s="151" t="str">
        <f>INDEX(Teams!$B$5:$H$45,MATCH(Results!$C59,Teams!$B$5:$B$45,0),5)</f>
        <v>Woodlands</v>
      </c>
      <c r="I59" s="152" t="str">
        <f>INDEX(Teams!$B$5:$H$45,MATCH(Results!$C59,Teams!$B$5:$B$45,0),6)</f>
        <v>FRBB</v>
      </c>
      <c r="J59" s="152" t="str">
        <f>INDEX(Teams!$B$5:$H$45,MATCH(Results!$F59,Teams!$B$5:$B$45,0),6)</f>
        <v>WALT</v>
      </c>
      <c r="K59" s="69" t="str">
        <f t="shared" si="0"/>
        <v>FRBBWALT</v>
      </c>
      <c r="L59" s="68" t="str">
        <f t="shared" si="1"/>
        <v>FRBB</v>
      </c>
      <c r="M59" s="68">
        <f t="shared" si="2"/>
        <v>1</v>
      </c>
      <c r="N59" s="68">
        <f t="shared" si="3"/>
        <v>10</v>
      </c>
      <c r="O59" s="68" t="str">
        <f t="shared" si="4"/>
        <v>Home</v>
      </c>
      <c r="P59" s="68" t="str">
        <f t="shared" si="5"/>
        <v>FRBB3</v>
      </c>
      <c r="Q59" s="68" t="str">
        <f t="shared" si="6"/>
        <v>WALT3</v>
      </c>
      <c r="R59" s="68">
        <f>INDEX(RankPoints!$B$4:$AK$19,$B59+1,MATCH(Results!$I59,RankPoints!$B$4:$AK$4,0))</f>
        <v>351</v>
      </c>
      <c r="S59" s="68" t="e">
        <f>INDEX(RankPoints!$B$4:$AK$19,$B59+1,MATCH(Results!$J59,RankPoints!$B$4:$AK$4,0))</f>
        <v>#N/A</v>
      </c>
      <c r="T59" s="68">
        <f t="shared" si="7"/>
        <v>1</v>
      </c>
      <c r="U59" s="155">
        <f t="shared" si="8"/>
        <v>0</v>
      </c>
      <c r="V59" s="156" t="e">
        <f>1/(1+(10^($X59/'[1]Teams'!$F$3)))</f>
        <v>#N/A</v>
      </c>
      <c r="W59" s="157" t="e">
        <f>1/(1+(10^($Y59/'[1]Teams'!$F$3)))</f>
        <v>#N/A</v>
      </c>
      <c r="X59" s="68" t="e">
        <f t="shared" si="9"/>
        <v>#N/A</v>
      </c>
      <c r="Y59" s="155" t="e">
        <f t="shared" si="10"/>
        <v>#N/A</v>
      </c>
      <c r="Z59" s="68" t="e">
        <f>ROUND($R59+(Teams!$H$2*($T59-$V59)),0)</f>
        <v>#N/A</v>
      </c>
      <c r="AA59" s="158" t="e">
        <f>ROUND($S59+(Teams!$H$2*($U59-$W59)),0)</f>
        <v>#N/A</v>
      </c>
    </row>
    <row r="60" spans="2:27" ht="12.75">
      <c r="B60" s="158">
        <v>3</v>
      </c>
      <c r="C60" s="216" t="s">
        <v>255</v>
      </c>
      <c r="D60" s="171">
        <v>7</v>
      </c>
      <c r="E60" s="175">
        <v>24</v>
      </c>
      <c r="F60" s="221" t="s">
        <v>127</v>
      </c>
      <c r="G60" s="151" t="str">
        <f>INDEX(Teams!$B$5:$H$45,MATCH(Results!$C60,Teams!$B$5:$B$45,0),3)</f>
        <v>The Hawks Nest</v>
      </c>
      <c r="H60" s="151" t="str">
        <f>INDEX(Teams!$B$5:$H$45,MATCH(Results!$C60,Teams!$B$5:$B$45,0),5)</f>
        <v>Woodlands</v>
      </c>
      <c r="I60" s="152" t="str">
        <f>INDEX(Teams!$B$5:$H$45,MATCH(Results!$C60,Teams!$B$5:$B$45,0),6)</f>
        <v>HUDS</v>
      </c>
      <c r="J60" s="152" t="str">
        <f>INDEX(Teams!$B$5:$H$45,MATCH(Results!$F60,Teams!$B$5:$B$45,0),6)</f>
        <v>BUCK</v>
      </c>
      <c r="K60" s="69" t="str">
        <f t="shared" si="0"/>
        <v>HUDSBUCK</v>
      </c>
      <c r="L60" s="68" t="str">
        <f t="shared" si="1"/>
        <v>BUCK</v>
      </c>
      <c r="M60" s="68">
        <f t="shared" si="2"/>
        <v>1</v>
      </c>
      <c r="N60" s="68">
        <f t="shared" si="3"/>
        <v>17</v>
      </c>
      <c r="O60" s="68" t="str">
        <f t="shared" si="4"/>
        <v>Away</v>
      </c>
      <c r="P60" s="68" t="str">
        <f t="shared" si="5"/>
        <v>HUDS3</v>
      </c>
      <c r="Q60" s="68" t="str">
        <f t="shared" si="6"/>
        <v>BUCK3</v>
      </c>
      <c r="R60" s="68" t="e">
        <f>INDEX(RankPoints!$B$4:$AK$19,$B60+1,MATCH(Results!$I60,RankPoints!$B$4:$AK$4,0))</f>
        <v>#N/A</v>
      </c>
      <c r="S60" s="68" t="e">
        <f>INDEX(RankPoints!$B$4:$AK$19,$B60+1,MATCH(Results!$J60,RankPoints!$B$4:$AK$4,0))</f>
        <v>#N/A</v>
      </c>
      <c r="T60" s="68">
        <f t="shared" si="7"/>
        <v>0</v>
      </c>
      <c r="U60" s="155">
        <f t="shared" si="8"/>
        <v>1</v>
      </c>
      <c r="V60" s="156" t="e">
        <f>1/(1+(10^($X60/'[1]Teams'!$F$3)))</f>
        <v>#N/A</v>
      </c>
      <c r="W60" s="157" t="e">
        <f>1/(1+(10^($Y60/'[1]Teams'!$F$3)))</f>
        <v>#N/A</v>
      </c>
      <c r="X60" s="68" t="e">
        <f t="shared" si="9"/>
        <v>#N/A</v>
      </c>
      <c r="Y60" s="155" t="e">
        <f t="shared" si="10"/>
        <v>#N/A</v>
      </c>
      <c r="Z60" s="68" t="e">
        <f>ROUND($R60+(Teams!$H$2*($T60-$V60)),0)</f>
        <v>#N/A</v>
      </c>
      <c r="AA60" s="158" t="e">
        <f>ROUND($S60+(Teams!$H$2*($U60-$W60)),0)</f>
        <v>#N/A</v>
      </c>
    </row>
    <row r="61" spans="2:27" ht="12.75">
      <c r="B61" s="158">
        <v>3</v>
      </c>
      <c r="C61" s="216" t="s">
        <v>158</v>
      </c>
      <c r="D61" s="171">
        <v>27</v>
      </c>
      <c r="E61" s="175">
        <v>24</v>
      </c>
      <c r="F61" s="221" t="s">
        <v>110</v>
      </c>
      <c r="G61" s="151" t="str">
        <f>INDEX(Teams!$B$5:$H$45,MATCH(Results!$C61,Teams!$B$5:$B$45,0),3)</f>
        <v>The Brown House</v>
      </c>
      <c r="H61" s="151" t="str">
        <f>INDEX(Teams!$B$5:$H$45,MATCH(Results!$C61,Teams!$B$5:$B$45,0),5)</f>
        <v>Woodlands</v>
      </c>
      <c r="I61" s="152" t="str">
        <f>INDEX(Teams!$B$5:$H$45,MATCH(Results!$C61,Teams!$B$5:$B$45,0),6)</f>
        <v>TOUF</v>
      </c>
      <c r="J61" s="152" t="str">
        <f>INDEX(Teams!$B$5:$H$45,MATCH(Results!$F61,Teams!$B$5:$B$45,0),6)</f>
        <v>UTCA</v>
      </c>
      <c r="K61" s="69" t="str">
        <f t="shared" si="0"/>
        <v>TOUFUTCA</v>
      </c>
      <c r="L61" s="68" t="str">
        <f t="shared" si="1"/>
        <v>TOUF</v>
      </c>
      <c r="M61" s="68">
        <f t="shared" si="2"/>
        <v>1</v>
      </c>
      <c r="N61" s="68">
        <f t="shared" si="3"/>
        <v>3</v>
      </c>
      <c r="O61" s="68" t="str">
        <f t="shared" si="4"/>
        <v>Home</v>
      </c>
      <c r="P61" s="68" t="str">
        <f t="shared" si="5"/>
        <v>TOUF3</v>
      </c>
      <c r="Q61" s="68" t="str">
        <f t="shared" si="6"/>
        <v>UTCA3</v>
      </c>
      <c r="R61" s="68" t="e">
        <f>INDEX(RankPoints!$B$4:$AK$19,$B61+1,MATCH(Results!$I61,RankPoints!$B$4:$AK$4,0))</f>
        <v>#N/A</v>
      </c>
      <c r="S61" s="68">
        <f>INDEX(RankPoints!$B$4:$AK$19,$B61+1,MATCH(Results!$J61,RankPoints!$B$4:$AK$4,0))</f>
        <v>1472</v>
      </c>
      <c r="T61" s="68">
        <f t="shared" si="7"/>
        <v>1</v>
      </c>
      <c r="U61" s="155">
        <f t="shared" si="8"/>
        <v>0</v>
      </c>
      <c r="V61" s="156" t="e">
        <f>1/(1+(10^($X61/'[1]Teams'!$F$3)))</f>
        <v>#N/A</v>
      </c>
      <c r="W61" s="157" t="e">
        <f>1/(1+(10^($Y61/'[1]Teams'!$F$3)))</f>
        <v>#N/A</v>
      </c>
      <c r="X61" s="68" t="e">
        <f t="shared" si="9"/>
        <v>#N/A</v>
      </c>
      <c r="Y61" s="155" t="e">
        <f t="shared" si="10"/>
        <v>#N/A</v>
      </c>
      <c r="Z61" s="68" t="e">
        <f>ROUND($R61+(Teams!$H$2*($T61-$V61)),0)</f>
        <v>#N/A</v>
      </c>
      <c r="AA61" s="158" t="e">
        <f>ROUND($S61+(Teams!$H$2*($U61-$W61)),0)</f>
        <v>#N/A</v>
      </c>
    </row>
    <row r="62" spans="2:27" ht="12.75">
      <c r="B62" s="158">
        <v>3</v>
      </c>
      <c r="C62" s="216" t="s">
        <v>109</v>
      </c>
      <c r="D62" s="171">
        <v>54</v>
      </c>
      <c r="E62" s="175">
        <v>3</v>
      </c>
      <c r="F62" s="221" t="s">
        <v>125</v>
      </c>
      <c r="G62" s="151" t="str">
        <f>INDEX(Teams!$B$5:$H$45,MATCH(Results!$C62,Teams!$B$5:$B$45,0),3)</f>
        <v>Walker Field</v>
      </c>
      <c r="H62" s="151" t="str">
        <f>INDEX(Teams!$B$5:$H$45,MATCH(Results!$C62,Teams!$B$5:$B$45,0),5)</f>
        <v>Woodlands</v>
      </c>
      <c r="I62" s="152" t="str">
        <f>INDEX(Teams!$B$5:$H$45,MATCH(Results!$C62,Teams!$B$5:$B$45,0),6)</f>
        <v>ARKN</v>
      </c>
      <c r="J62" s="152" t="str">
        <f>INDEX(Teams!$B$5:$H$45,MATCH(Results!$F62,Teams!$B$5:$B$45,0),6)</f>
        <v>JGZA</v>
      </c>
      <c r="K62" s="69" t="str">
        <f t="shared" si="0"/>
        <v>ARKNJGZA</v>
      </c>
      <c r="L62" s="68" t="str">
        <f t="shared" si="1"/>
        <v>ARKN</v>
      </c>
      <c r="M62" s="68">
        <f t="shared" si="2"/>
        <v>1</v>
      </c>
      <c r="N62" s="68">
        <f t="shared" si="3"/>
        <v>51</v>
      </c>
      <c r="O62" s="68" t="str">
        <f t="shared" si="4"/>
        <v>Home</v>
      </c>
      <c r="P62" s="68" t="str">
        <f t="shared" si="5"/>
        <v>ARKN3</v>
      </c>
      <c r="Q62" s="68" t="str">
        <f t="shared" si="6"/>
        <v>JGZA3</v>
      </c>
      <c r="R62" s="68">
        <f>INDEX(RankPoints!$B$4:$AK$19,$B62+1,MATCH(Results!$I62,RankPoints!$B$4:$AK$4,0))</f>
        <v>1798</v>
      </c>
      <c r="S62" s="68" t="e">
        <f>INDEX(RankPoints!$B$4:$AK$19,$B62+1,MATCH(Results!$J62,RankPoints!$B$4:$AK$4,0))</f>
        <v>#N/A</v>
      </c>
      <c r="T62" s="68">
        <f t="shared" si="7"/>
        <v>1</v>
      </c>
      <c r="U62" s="155">
        <f t="shared" si="8"/>
        <v>0</v>
      </c>
      <c r="V62" s="156" t="e">
        <f>1/(1+(10^($X62/'[1]Teams'!$F$3)))</f>
        <v>#N/A</v>
      </c>
      <c r="W62" s="157" t="e">
        <f>1/(1+(10^($Y62/'[1]Teams'!$F$3)))</f>
        <v>#N/A</v>
      </c>
      <c r="X62" s="68" t="e">
        <f t="shared" si="9"/>
        <v>#N/A</v>
      </c>
      <c r="Y62" s="155" t="e">
        <f t="shared" si="10"/>
        <v>#N/A</v>
      </c>
      <c r="Z62" s="68" t="e">
        <f>ROUND($R62+(Teams!$H$2*($T62-$V62)),0)</f>
        <v>#N/A</v>
      </c>
      <c r="AA62" s="158" t="e">
        <f>ROUND($S62+(Teams!$H$2*($U62-$W62)),0)</f>
        <v>#N/A</v>
      </c>
    </row>
    <row r="63" spans="2:27" ht="12.75">
      <c r="B63" s="158">
        <v>4</v>
      </c>
      <c r="C63" s="216" t="s">
        <v>271</v>
      </c>
      <c r="D63" s="171">
        <v>10</v>
      </c>
      <c r="E63" s="175">
        <v>13</v>
      </c>
      <c r="F63" s="221" t="s">
        <v>124</v>
      </c>
      <c r="G63" s="151" t="str">
        <f>INDEX(Teams!$B$5:$H$45,MATCH(Results!$C63,Teams!$B$5:$B$45,0),3)</f>
        <v>Saunders Klijde Stadium</v>
      </c>
      <c r="H63" s="151" t="str">
        <f>INDEX(Teams!$B$5:$H$45,MATCH(Results!$C63,Teams!$B$5:$B$45,0),5)</f>
        <v>Big Eight</v>
      </c>
      <c r="I63" s="152" t="str">
        <f>INDEX(Teams!$B$5:$H$45,MATCH(Results!$C63,Teams!$B$5:$B$45,0),6)</f>
        <v>WAA</v>
      </c>
      <c r="J63" s="152" t="str">
        <f>INDEX(Teams!$B$5:$H$45,MATCH(Results!$F63,Teams!$B$5:$B$45,0),6)</f>
        <v>TIMC</v>
      </c>
      <c r="K63" s="69" t="str">
        <f t="shared" si="0"/>
        <v>WAATIMC</v>
      </c>
      <c r="L63" s="68" t="str">
        <f t="shared" si="1"/>
        <v>TIMC</v>
      </c>
      <c r="M63" s="68">
        <f t="shared" si="2"/>
        <v>1</v>
      </c>
      <c r="N63" s="68">
        <f t="shared" si="3"/>
        <v>3</v>
      </c>
      <c r="O63" s="68" t="str">
        <f t="shared" si="4"/>
        <v>Away</v>
      </c>
      <c r="P63" s="68" t="str">
        <f t="shared" si="5"/>
        <v>WAA4</v>
      </c>
      <c r="Q63" s="68" t="str">
        <f t="shared" si="6"/>
        <v>TIMC4</v>
      </c>
      <c r="R63" s="68" t="e">
        <f>INDEX(RankPoints!$B$4:$AK$19,$B63+1,MATCH(Results!$I63,RankPoints!$B$4:$AK$4,0))</f>
        <v>#N/A</v>
      </c>
      <c r="S63" s="68" t="e">
        <f>INDEX(RankPoints!$B$4:$AK$19,$B63+1,MATCH(Results!$J63,RankPoints!$B$4:$AK$4,0))</f>
        <v>#N/A</v>
      </c>
      <c r="T63" s="68">
        <f t="shared" si="7"/>
        <v>0</v>
      </c>
      <c r="U63" s="155">
        <f t="shared" si="8"/>
        <v>1</v>
      </c>
      <c r="V63" s="156" t="e">
        <f>1/(1+(10^($X63/'[1]Teams'!$F$3)))</f>
        <v>#N/A</v>
      </c>
      <c r="W63" s="157" t="e">
        <f>1/(1+(10^($Y63/'[1]Teams'!$F$3)))</f>
        <v>#N/A</v>
      </c>
      <c r="X63" s="68" t="e">
        <f t="shared" si="9"/>
        <v>#N/A</v>
      </c>
      <c r="Y63" s="155" t="e">
        <f t="shared" si="10"/>
        <v>#N/A</v>
      </c>
      <c r="Z63" s="68" t="e">
        <f>ROUND($R63+(Teams!$H$2*($T63-$V63)),0)</f>
        <v>#N/A</v>
      </c>
      <c r="AA63" s="158" t="e">
        <f>ROUND($S63+(Teams!$H$2*($U63-$W63)),0)</f>
        <v>#N/A</v>
      </c>
    </row>
    <row r="64" spans="2:27" ht="12.75">
      <c r="B64" s="158">
        <v>4</v>
      </c>
      <c r="C64" s="216" t="s">
        <v>154</v>
      </c>
      <c r="D64" s="171">
        <v>17</v>
      </c>
      <c r="E64" s="175">
        <v>19</v>
      </c>
      <c r="F64" s="221" t="s">
        <v>76</v>
      </c>
      <c r="G64" s="151" t="str">
        <f>INDEX(Teams!$B$5:$H$45,MATCH(Results!$C64,Teams!$B$5:$B$45,0),3)</f>
        <v>Nobel Stadium</v>
      </c>
      <c r="H64" s="151" t="str">
        <f>INDEX(Teams!$B$5:$H$45,MATCH(Results!$C64,Teams!$B$5:$B$45,0),5)</f>
        <v>Big Eight</v>
      </c>
      <c r="I64" s="152" t="str">
        <f>INDEX(Teams!$B$5:$H$45,MATCH(Results!$C64,Teams!$B$5:$B$45,0),6)</f>
        <v>NOBL</v>
      </c>
      <c r="J64" s="152" t="str">
        <f>INDEX(Teams!$B$5:$H$45,MATCH(Results!$F64,Teams!$B$5:$B$45,0),6)</f>
        <v>SCTT</v>
      </c>
      <c r="K64" s="69" t="str">
        <f t="shared" si="0"/>
        <v>NOBLSCTT</v>
      </c>
      <c r="L64" s="68" t="str">
        <f t="shared" si="1"/>
        <v>SCTT</v>
      </c>
      <c r="M64" s="68">
        <f t="shared" si="2"/>
        <v>1</v>
      </c>
      <c r="N64" s="68">
        <f t="shared" si="3"/>
        <v>2</v>
      </c>
      <c r="O64" s="68" t="str">
        <f t="shared" si="4"/>
        <v>Away</v>
      </c>
      <c r="P64" s="68" t="str">
        <f t="shared" si="5"/>
        <v>NOBL4</v>
      </c>
      <c r="Q64" s="68" t="str">
        <f t="shared" si="6"/>
        <v>SCTT4</v>
      </c>
      <c r="R64" s="68" t="e">
        <f>INDEX(RankPoints!$B$4:$AK$19,$B64+1,MATCH(Results!$I64,RankPoints!$B$4:$AK$4,0))</f>
        <v>#N/A</v>
      </c>
      <c r="S64" s="68">
        <f>INDEX(RankPoints!$B$4:$AK$19,$B64+1,MATCH(Results!$J64,RankPoints!$B$4:$AK$4,0))</f>
        <v>1516</v>
      </c>
      <c r="T64" s="68">
        <f t="shared" si="7"/>
        <v>0</v>
      </c>
      <c r="U64" s="155">
        <f t="shared" si="8"/>
        <v>1</v>
      </c>
      <c r="V64" s="156" t="e">
        <f>1/(1+(10^($X64/'[1]Teams'!$F$3)))</f>
        <v>#N/A</v>
      </c>
      <c r="W64" s="157" t="e">
        <f>1/(1+(10^($Y64/'[1]Teams'!$F$3)))</f>
        <v>#N/A</v>
      </c>
      <c r="X64" s="68" t="e">
        <f t="shared" si="9"/>
        <v>#N/A</v>
      </c>
      <c r="Y64" s="155" t="e">
        <f t="shared" si="10"/>
        <v>#N/A</v>
      </c>
      <c r="Z64" s="68" t="e">
        <f>ROUND($R64+(Teams!$H$2*($T64-$V64)),0)</f>
        <v>#N/A</v>
      </c>
      <c r="AA64" s="158" t="e">
        <f>ROUND($S64+(Teams!$H$2*($U64-$W64)),0)</f>
        <v>#N/A</v>
      </c>
    </row>
    <row r="65" spans="2:27" ht="12.75">
      <c r="B65" s="158">
        <v>4</v>
      </c>
      <c r="C65" s="216" t="s">
        <v>144</v>
      </c>
      <c r="D65" s="171">
        <v>3</v>
      </c>
      <c r="E65" s="175">
        <v>31</v>
      </c>
      <c r="F65" s="221" t="s">
        <v>77</v>
      </c>
      <c r="G65" s="151" t="str">
        <f>INDEX(Teams!$B$5:$H$45,MATCH(Results!$C65,Teams!$B$5:$B$45,0),3)</f>
        <v>Cradence Stadium</v>
      </c>
      <c r="H65" s="151" t="str">
        <f>INDEX(Teams!$B$5:$H$45,MATCH(Results!$C65,Teams!$B$5:$B$45,0),5)</f>
        <v>Big Eight</v>
      </c>
      <c r="I65" s="152" t="str">
        <f>INDEX(Teams!$B$5:$H$45,MATCH(Results!$C65,Teams!$B$5:$B$45,0),6)</f>
        <v>ARLN</v>
      </c>
      <c r="J65" s="152" t="str">
        <f>INDEX(Teams!$B$5:$H$45,MATCH(Results!$F65,Teams!$B$5:$B$45,0),6)</f>
        <v>SAUG</v>
      </c>
      <c r="K65" s="69" t="str">
        <f t="shared" si="0"/>
        <v>ARLNSAUG</v>
      </c>
      <c r="L65" s="68" t="str">
        <f t="shared" si="1"/>
        <v>SAUG</v>
      </c>
      <c r="M65" s="68">
        <f t="shared" si="2"/>
        <v>1</v>
      </c>
      <c r="N65" s="68">
        <f t="shared" si="3"/>
        <v>28</v>
      </c>
      <c r="O65" s="68" t="str">
        <f t="shared" si="4"/>
        <v>Away</v>
      </c>
      <c r="P65" s="68" t="str">
        <f t="shared" si="5"/>
        <v>ARLN4</v>
      </c>
      <c r="Q65" s="68" t="str">
        <f t="shared" si="6"/>
        <v>SAUG4</v>
      </c>
      <c r="R65" s="68" t="e">
        <f>INDEX(RankPoints!$B$4:$AK$19,$B65+1,MATCH(Results!$I65,RankPoints!$B$4:$AK$4,0))</f>
        <v>#N/A</v>
      </c>
      <c r="S65" s="68">
        <f>INDEX(RankPoints!$B$4:$AK$19,$B65+1,MATCH(Results!$J65,RankPoints!$B$4:$AK$4,0))</f>
        <v>0</v>
      </c>
      <c r="T65" s="68">
        <f t="shared" si="7"/>
        <v>0</v>
      </c>
      <c r="U65" s="155">
        <f t="shared" si="8"/>
        <v>1</v>
      </c>
      <c r="V65" s="156" t="e">
        <f>1/(1+(10^($X65/'[1]Teams'!$F$3)))</f>
        <v>#N/A</v>
      </c>
      <c r="W65" s="157" t="e">
        <f>1/(1+(10^($Y65/'[1]Teams'!$F$3)))</f>
        <v>#N/A</v>
      </c>
      <c r="X65" s="68" t="e">
        <f t="shared" si="9"/>
        <v>#N/A</v>
      </c>
      <c r="Y65" s="155" t="e">
        <f t="shared" si="10"/>
        <v>#N/A</v>
      </c>
      <c r="Z65" s="68" t="e">
        <f>ROUND($R65+(Teams!$H$2*($T65-$V65)),0)</f>
        <v>#N/A</v>
      </c>
      <c r="AA65" s="158" t="e">
        <f>ROUND($S65+(Teams!$H$2*($U65-$W65)),0)</f>
        <v>#N/A</v>
      </c>
    </row>
    <row r="66" spans="2:27" ht="12.75">
      <c r="B66" s="158">
        <v>4</v>
      </c>
      <c r="C66" s="216" t="s">
        <v>270</v>
      </c>
      <c r="D66" s="171">
        <v>16</v>
      </c>
      <c r="E66" s="175">
        <v>0</v>
      </c>
      <c r="F66" s="221" t="s">
        <v>148</v>
      </c>
      <c r="G66" s="151" t="str">
        <f>INDEX(Teams!$B$5:$H$45,MATCH(Results!$C66,Teams!$B$5:$B$45,0),3)</f>
        <v>Bugny Stadium</v>
      </c>
      <c r="H66" s="151" t="str">
        <f>INDEX(Teams!$B$5:$H$45,MATCH(Results!$C66,Teams!$B$5:$B$45,0),5)</f>
        <v>Big Eight</v>
      </c>
      <c r="I66" s="152" t="str">
        <f>INDEX(Teams!$B$5:$H$45,MATCH(Results!$C66,Teams!$B$5:$B$45,0),6)</f>
        <v>BUGN</v>
      </c>
      <c r="J66" s="152" t="str">
        <f>INDEX(Teams!$B$5:$H$45,MATCH(Results!$F66,Teams!$B$5:$B$45,0),6)</f>
        <v>RELK</v>
      </c>
      <c r="K66" s="69" t="str">
        <f t="shared" si="0"/>
        <v>BUGNRELK</v>
      </c>
      <c r="L66" s="68" t="str">
        <f t="shared" si="1"/>
        <v>BUGN</v>
      </c>
      <c r="M66" s="68">
        <f t="shared" si="2"/>
        <v>1</v>
      </c>
      <c r="N66" s="68">
        <f t="shared" si="3"/>
        <v>16</v>
      </c>
      <c r="O66" s="68" t="str">
        <f t="shared" si="4"/>
        <v>Home</v>
      </c>
      <c r="P66" s="68" t="str">
        <f t="shared" si="5"/>
        <v>BUGN4</v>
      </c>
      <c r="Q66" s="68" t="str">
        <f t="shared" si="6"/>
        <v>RELK4</v>
      </c>
      <c r="R66" s="68">
        <f>INDEX(RankPoints!$B$4:$AK$19,$B66+1,MATCH(Results!$I66,RankPoints!$B$4:$AK$4,0))</f>
        <v>1651</v>
      </c>
      <c r="S66" s="68" t="e">
        <f>INDEX(RankPoints!$B$4:$AK$19,$B66+1,MATCH(Results!$J66,RankPoints!$B$4:$AK$4,0))</f>
        <v>#N/A</v>
      </c>
      <c r="T66" s="68">
        <f t="shared" si="7"/>
        <v>1</v>
      </c>
      <c r="U66" s="155">
        <f t="shared" si="8"/>
        <v>0</v>
      </c>
      <c r="V66" s="156" t="e">
        <f>1/(1+(10^($X66/'[1]Teams'!$F$3)))</f>
        <v>#N/A</v>
      </c>
      <c r="W66" s="157" t="e">
        <f>1/(1+(10^($Y66/'[1]Teams'!$F$3)))</f>
        <v>#N/A</v>
      </c>
      <c r="X66" s="68" t="e">
        <f t="shared" si="9"/>
        <v>#N/A</v>
      </c>
      <c r="Y66" s="155" t="e">
        <f t="shared" si="10"/>
        <v>#N/A</v>
      </c>
      <c r="Z66" s="68" t="e">
        <f>ROUND($R66+(Teams!$H$2*($T66-$V66)),0)</f>
        <v>#N/A</v>
      </c>
      <c r="AA66" s="158" t="e">
        <f>ROUND($S66+(Teams!$H$2*($U66-$W66)),0)</f>
        <v>#N/A</v>
      </c>
    </row>
    <row r="67" spans="2:27" ht="12.75">
      <c r="B67" s="158">
        <v>4</v>
      </c>
      <c r="C67" s="216" t="s">
        <v>248</v>
      </c>
      <c r="D67" s="171">
        <v>26</v>
      </c>
      <c r="E67" s="175">
        <v>13</v>
      </c>
      <c r="F67" s="221" t="s">
        <v>149</v>
      </c>
      <c r="G67" s="151" t="str">
        <f>INDEX(Teams!$B$5:$H$45,MATCH(Results!$C67,Teams!$B$5:$B$45,0),3)</f>
        <v>Dorrel Stadium</v>
      </c>
      <c r="H67" s="151" t="str">
        <f>INDEX(Teams!$B$5:$H$45,MATCH(Results!$C67,Teams!$B$5:$B$45,0),5)</f>
        <v>Horizon</v>
      </c>
      <c r="I67" s="152" t="str">
        <f>INDEX(Teams!$B$5:$H$45,MATCH(Results!$C67,Teams!$B$5:$B$45,0),6)</f>
        <v>COLD</v>
      </c>
      <c r="J67" s="152" t="str">
        <f>INDEX(Teams!$B$5:$H$45,MATCH(Results!$F67,Teams!$B$5:$B$45,0),6)</f>
        <v>USPN</v>
      </c>
      <c r="K67" s="69" t="str">
        <f aca="true" t="shared" si="11" ref="K67:K130">I67&amp;J67</f>
        <v>COLDUSPN</v>
      </c>
      <c r="L67" s="68" t="str">
        <f aca="true" t="shared" si="12" ref="L67:L130">IF(M67=0,"",IF(D67&gt;E67,I67,J67))</f>
        <v>COLD</v>
      </c>
      <c r="M67" s="68">
        <f aca="true" t="shared" si="13" ref="M67:M130">IF(OR(D67="",E67=""),0,1)</f>
        <v>1</v>
      </c>
      <c r="N67" s="68">
        <f aca="true" t="shared" si="14" ref="N67:N130">ABS(D67-E67)</f>
        <v>13</v>
      </c>
      <c r="O67" s="68" t="str">
        <f aca="true" t="shared" si="15" ref="O67:O130">IF(L67="","",IF(L67=I67,"Home","Away"))</f>
        <v>Home</v>
      </c>
      <c r="P67" s="68" t="str">
        <f aca="true" t="shared" si="16" ref="P67:P130">$I67&amp;$B67</f>
        <v>COLD4</v>
      </c>
      <c r="Q67" s="68" t="str">
        <f aca="true" t="shared" si="17" ref="Q67:Q130">$J67&amp;$B67</f>
        <v>USPN4</v>
      </c>
      <c r="R67" s="68">
        <f>INDEX(RankPoints!$B$4:$AK$19,$B67+1,MATCH(Results!$I67,RankPoints!$B$4:$AK$4,0))</f>
        <v>1627</v>
      </c>
      <c r="S67" s="68" t="e">
        <f>INDEX(RankPoints!$B$4:$AK$19,$B67+1,MATCH(Results!$J67,RankPoints!$B$4:$AK$4,0))</f>
        <v>#N/A</v>
      </c>
      <c r="T67" s="68">
        <f aca="true" t="shared" si="18" ref="T67:T130">IF($O67="Home",1,0)</f>
        <v>1</v>
      </c>
      <c r="U67" s="155">
        <f aca="true" t="shared" si="19" ref="U67:U130">IF($O67="Away",1,0)</f>
        <v>0</v>
      </c>
      <c r="V67" s="156" t="e">
        <f>1/(1+(10^($X67/'[1]Teams'!$F$3)))</f>
        <v>#N/A</v>
      </c>
      <c r="W67" s="157" t="e">
        <f>1/(1+(10^($Y67/'[1]Teams'!$F$3)))</f>
        <v>#N/A</v>
      </c>
      <c r="X67" s="68" t="e">
        <f aca="true" t="shared" si="20" ref="X67:X130">$R67-$S67</f>
        <v>#N/A</v>
      </c>
      <c r="Y67" s="155" t="e">
        <f aca="true" t="shared" si="21" ref="Y67:Y130">$S67-$R67</f>
        <v>#N/A</v>
      </c>
      <c r="Z67" s="68" t="e">
        <f>ROUND($R67+(Teams!$H$2*($T67-$V67)),0)</f>
        <v>#N/A</v>
      </c>
      <c r="AA67" s="158" t="e">
        <f>ROUND($S67+(Teams!$H$2*($U67-$W67)),0)</f>
        <v>#N/A</v>
      </c>
    </row>
    <row r="68" spans="2:27" ht="12.75">
      <c r="B68" s="158">
        <v>4</v>
      </c>
      <c r="C68" s="216" t="s">
        <v>157</v>
      </c>
      <c r="D68" s="171">
        <v>23</v>
      </c>
      <c r="E68" s="175">
        <v>20</v>
      </c>
      <c r="F68" s="221" t="s">
        <v>151</v>
      </c>
      <c r="G68" s="151" t="str">
        <f>INDEX(Teams!$B$5:$H$45,MATCH(Results!$C68,Teams!$B$5:$B$45,0),3)</f>
        <v>Badger Stadium</v>
      </c>
      <c r="H68" s="151" t="str">
        <f>INDEX(Teams!$B$5:$H$45,MATCH(Results!$C68,Teams!$B$5:$B$45,0),5)</f>
        <v>Horizon</v>
      </c>
      <c r="I68" s="152" t="str">
        <f>INDEX(Teams!$B$5:$H$45,MATCH(Results!$C68,Teams!$B$5:$B$45,0),6)</f>
        <v>WIEN</v>
      </c>
      <c r="J68" s="152" t="str">
        <f>INDEX(Teams!$B$5:$H$45,MATCH(Results!$F68,Teams!$B$5:$B$45,0),6)</f>
        <v>OLYM</v>
      </c>
      <c r="K68" s="69" t="str">
        <f t="shared" si="11"/>
        <v>WIENOLYM</v>
      </c>
      <c r="L68" s="68" t="str">
        <f t="shared" si="12"/>
        <v>WIEN</v>
      </c>
      <c r="M68" s="68">
        <f t="shared" si="13"/>
        <v>1</v>
      </c>
      <c r="N68" s="68">
        <f t="shared" si="14"/>
        <v>3</v>
      </c>
      <c r="O68" s="68" t="str">
        <f t="shared" si="15"/>
        <v>Home</v>
      </c>
      <c r="P68" s="68" t="str">
        <f t="shared" si="16"/>
        <v>WIEN4</v>
      </c>
      <c r="Q68" s="68" t="str">
        <f t="shared" si="17"/>
        <v>OLYM4</v>
      </c>
      <c r="R68" s="68" t="e">
        <f>INDEX(RankPoints!$B$4:$AK$19,$B68+1,MATCH(Results!$I68,RankPoints!$B$4:$AK$4,0))</f>
        <v>#N/A</v>
      </c>
      <c r="S68" s="68" t="e">
        <f>INDEX(RankPoints!$B$4:$AK$19,$B68+1,MATCH(Results!$J68,RankPoints!$B$4:$AK$4,0))</f>
        <v>#N/A</v>
      </c>
      <c r="T68" s="68">
        <f t="shared" si="18"/>
        <v>1</v>
      </c>
      <c r="U68" s="155">
        <f t="shared" si="19"/>
        <v>0</v>
      </c>
      <c r="V68" s="156" t="e">
        <f>1/(1+(10^($X68/'[1]Teams'!$F$3)))</f>
        <v>#N/A</v>
      </c>
      <c r="W68" s="157" t="e">
        <f>1/(1+(10^($Y68/'[1]Teams'!$F$3)))</f>
        <v>#N/A</v>
      </c>
      <c r="X68" s="68" t="e">
        <f t="shared" si="20"/>
        <v>#N/A</v>
      </c>
      <c r="Y68" s="155" t="e">
        <f t="shared" si="21"/>
        <v>#N/A</v>
      </c>
      <c r="Z68" s="68" t="e">
        <f>ROUND($R68+(Teams!$H$2*($T68-$V68)),0)</f>
        <v>#N/A</v>
      </c>
      <c r="AA68" s="158" t="e">
        <f>ROUND($S68+(Teams!$H$2*($U68-$W68)),0)</f>
        <v>#N/A</v>
      </c>
    </row>
    <row r="69" spans="2:27" ht="12.75">
      <c r="B69" s="158">
        <v>4</v>
      </c>
      <c r="C69" s="216" t="s">
        <v>145</v>
      </c>
      <c r="D69" s="171">
        <v>13</v>
      </c>
      <c r="E69" s="175">
        <v>10</v>
      </c>
      <c r="F69" s="221" t="s">
        <v>21</v>
      </c>
      <c r="G69" s="151" t="str">
        <f>INDEX(Teams!$B$5:$H$45,MATCH(Results!$C69,Teams!$B$5:$B$45,0),3)</f>
        <v>Indana Municipal Field</v>
      </c>
      <c r="H69" s="151" t="str">
        <f>INDEX(Teams!$B$5:$H$45,MATCH(Results!$C69,Teams!$B$5:$B$45,0),5)</f>
        <v>Horizon</v>
      </c>
      <c r="I69" s="152" t="str">
        <f>INDEX(Teams!$B$5:$H$45,MATCH(Results!$C69,Teams!$B$5:$B$45,0),6)</f>
        <v>INDN</v>
      </c>
      <c r="J69" s="152" t="str">
        <f>INDEX(Teams!$B$5:$H$45,MATCH(Results!$F69,Teams!$B$5:$B$45,0),6)</f>
        <v>STON</v>
      </c>
      <c r="K69" s="69" t="str">
        <f t="shared" si="11"/>
        <v>INDNSTON</v>
      </c>
      <c r="L69" s="68" t="str">
        <f t="shared" si="12"/>
        <v>INDN</v>
      </c>
      <c r="M69" s="68">
        <f t="shared" si="13"/>
        <v>1</v>
      </c>
      <c r="N69" s="68">
        <f t="shared" si="14"/>
        <v>3</v>
      </c>
      <c r="O69" s="68" t="str">
        <f t="shared" si="15"/>
        <v>Home</v>
      </c>
      <c r="P69" s="68" t="str">
        <f t="shared" si="16"/>
        <v>INDN4</v>
      </c>
      <c r="Q69" s="68" t="str">
        <f t="shared" si="17"/>
        <v>STON4</v>
      </c>
      <c r="R69" s="68" t="e">
        <f>INDEX(RankPoints!$B$4:$AK$19,$B69+1,MATCH(Results!$I69,RankPoints!$B$4:$AK$4,0))</f>
        <v>#N/A</v>
      </c>
      <c r="S69" s="68">
        <f>INDEX(RankPoints!$B$4:$AK$19,$B69+1,MATCH(Results!$J69,RankPoints!$B$4:$AK$4,0))</f>
        <v>1380</v>
      </c>
      <c r="T69" s="68">
        <f t="shared" si="18"/>
        <v>1</v>
      </c>
      <c r="U69" s="155">
        <f t="shared" si="19"/>
        <v>0</v>
      </c>
      <c r="V69" s="156" t="e">
        <f>1/(1+(10^($X69/'[1]Teams'!$F$3)))</f>
        <v>#N/A</v>
      </c>
      <c r="W69" s="157" t="e">
        <f>1/(1+(10^($Y69/'[1]Teams'!$F$3)))</f>
        <v>#N/A</v>
      </c>
      <c r="X69" s="68" t="e">
        <f t="shared" si="20"/>
        <v>#N/A</v>
      </c>
      <c r="Y69" s="155" t="e">
        <f t="shared" si="21"/>
        <v>#N/A</v>
      </c>
      <c r="Z69" s="68" t="e">
        <f>ROUND($R69+(Teams!$H$2*($T69-$V69)),0)</f>
        <v>#N/A</v>
      </c>
      <c r="AA69" s="158" t="e">
        <f>ROUND($S69+(Teams!$H$2*($U69-$W69)),0)</f>
        <v>#N/A</v>
      </c>
    </row>
    <row r="70" spans="2:27" ht="12.75">
      <c r="B70" s="158">
        <v>4</v>
      </c>
      <c r="C70" s="216" t="s">
        <v>20</v>
      </c>
      <c r="D70" s="171">
        <v>30</v>
      </c>
      <c r="E70" s="175">
        <v>3</v>
      </c>
      <c r="F70" s="221" t="s">
        <v>153</v>
      </c>
      <c r="G70" s="151" t="str">
        <f>INDEX(Teams!$B$5:$H$45,MATCH(Results!$C70,Teams!$B$5:$B$45,0),3)</f>
        <v>Capital Coliseum</v>
      </c>
      <c r="H70" s="151" t="str">
        <f>INDEX(Teams!$B$5:$H$45,MATCH(Results!$C70,Teams!$B$5:$B$45,0),5)</f>
        <v>Horizon</v>
      </c>
      <c r="I70" s="152" t="str">
        <f>INDEX(Teams!$B$5:$H$45,MATCH(Results!$C70,Teams!$B$5:$B$45,0),6)</f>
        <v>RCU</v>
      </c>
      <c r="J70" s="152" t="str">
        <f>INDEX(Teams!$B$5:$H$45,MATCH(Results!$F70,Teams!$B$5:$B$45,0),6)</f>
        <v>RSTU</v>
      </c>
      <c r="K70" s="69" t="str">
        <f t="shared" si="11"/>
        <v>RCURSTU</v>
      </c>
      <c r="L70" s="68" t="str">
        <f t="shared" si="12"/>
        <v>RCU</v>
      </c>
      <c r="M70" s="68">
        <f t="shared" si="13"/>
        <v>1</v>
      </c>
      <c r="N70" s="68">
        <f t="shared" si="14"/>
        <v>27</v>
      </c>
      <c r="O70" s="68" t="str">
        <f t="shared" si="15"/>
        <v>Home</v>
      </c>
      <c r="P70" s="68" t="str">
        <f t="shared" si="16"/>
        <v>RCU4</v>
      </c>
      <c r="Q70" s="68" t="str">
        <f t="shared" si="17"/>
        <v>RSTU4</v>
      </c>
      <c r="R70" s="68">
        <f>INDEX(RankPoints!$B$4:$AK$19,$B70+1,MATCH(Results!$I70,RankPoints!$B$4:$AK$4,0))</f>
        <v>157</v>
      </c>
      <c r="S70" s="68" t="e">
        <f>INDEX(RankPoints!$B$4:$AK$19,$B70+1,MATCH(Results!$J70,RankPoints!$B$4:$AK$4,0))</f>
        <v>#N/A</v>
      </c>
      <c r="T70" s="68">
        <f t="shared" si="18"/>
        <v>1</v>
      </c>
      <c r="U70" s="155">
        <f t="shared" si="19"/>
        <v>0</v>
      </c>
      <c r="V70" s="156" t="e">
        <f>1/(1+(10^($X70/'[1]Teams'!$F$3)))</f>
        <v>#N/A</v>
      </c>
      <c r="W70" s="157" t="e">
        <f>1/(1+(10^($Y70/'[1]Teams'!$F$3)))</f>
        <v>#N/A</v>
      </c>
      <c r="X70" s="68" t="e">
        <f t="shared" si="20"/>
        <v>#N/A</v>
      </c>
      <c r="Y70" s="155" t="e">
        <f t="shared" si="21"/>
        <v>#N/A</v>
      </c>
      <c r="Z70" s="68" t="e">
        <f>ROUND($R70+(Teams!$H$2*($T70-$V70)),0)</f>
        <v>#N/A</v>
      </c>
      <c r="AA70" s="158" t="e">
        <f>ROUND($S70+(Teams!$H$2*($U70-$W70)),0)</f>
        <v>#N/A</v>
      </c>
    </row>
    <row r="71" spans="2:27" ht="12.75">
      <c r="B71" s="158">
        <v>4</v>
      </c>
      <c r="C71" s="216" t="s">
        <v>121</v>
      </c>
      <c r="D71" s="171">
        <v>14</v>
      </c>
      <c r="E71" s="175">
        <v>16</v>
      </c>
      <c r="F71" s="221" t="s">
        <v>146</v>
      </c>
      <c r="G71" s="151" t="str">
        <f>INDEX(Teams!$B$5:$H$45,MATCH(Results!$C71,Teams!$B$5:$B$45,0),3)</f>
        <v>P. K. Morgan &amp; Sons Field</v>
      </c>
      <c r="H71" s="151" t="str">
        <f>INDEX(Teams!$B$5:$H$45,MATCH(Results!$C71,Teams!$B$5:$B$45,0),5)</f>
        <v>Mineral</v>
      </c>
      <c r="I71" s="152" t="str">
        <f>INDEX(Teams!$B$5:$H$45,MATCH(Results!$C71,Teams!$B$5:$B$45,0),6)</f>
        <v>CRGA</v>
      </c>
      <c r="J71" s="152" t="str">
        <f>INDEX(Teams!$B$5:$H$45,MATCH(Results!$F71,Teams!$B$5:$B$45,0),6)</f>
        <v>WSIT</v>
      </c>
      <c r="K71" s="69" t="str">
        <f t="shared" si="11"/>
        <v>CRGAWSIT</v>
      </c>
      <c r="L71" s="68" t="str">
        <f t="shared" si="12"/>
        <v>WSIT</v>
      </c>
      <c r="M71" s="68">
        <f t="shared" si="13"/>
        <v>1</v>
      </c>
      <c r="N71" s="68">
        <f t="shared" si="14"/>
        <v>2</v>
      </c>
      <c r="O71" s="68" t="str">
        <f t="shared" si="15"/>
        <v>Away</v>
      </c>
      <c r="P71" s="68" t="str">
        <f t="shared" si="16"/>
        <v>CRGA4</v>
      </c>
      <c r="Q71" s="68" t="str">
        <f t="shared" si="17"/>
        <v>WSIT4</v>
      </c>
      <c r="R71" s="68" t="e">
        <f>INDEX(RankPoints!$B$4:$AK$19,$B71+1,MATCH(Results!$I71,RankPoints!$B$4:$AK$4,0))</f>
        <v>#N/A</v>
      </c>
      <c r="S71" s="68" t="e">
        <f>INDEX(RankPoints!$B$4:$AK$19,$B71+1,MATCH(Results!$J71,RankPoints!$B$4:$AK$4,0))</f>
        <v>#N/A</v>
      </c>
      <c r="T71" s="68">
        <f t="shared" si="18"/>
        <v>0</v>
      </c>
      <c r="U71" s="155">
        <f t="shared" si="19"/>
        <v>1</v>
      </c>
      <c r="V71" s="156" t="e">
        <f>1/(1+(10^($X71/'[1]Teams'!$F$3)))</f>
        <v>#N/A</v>
      </c>
      <c r="W71" s="157" t="e">
        <f>1/(1+(10^($Y71/'[1]Teams'!$F$3)))</f>
        <v>#N/A</v>
      </c>
      <c r="X71" s="68" t="e">
        <f t="shared" si="20"/>
        <v>#N/A</v>
      </c>
      <c r="Y71" s="155" t="e">
        <f t="shared" si="21"/>
        <v>#N/A</v>
      </c>
      <c r="Z71" s="68" t="e">
        <f>ROUND($R71+(Teams!$H$2*($T71-$V71)),0)</f>
        <v>#N/A</v>
      </c>
      <c r="AA71" s="158" t="e">
        <f>ROUND($S71+(Teams!$H$2*($U71-$W71)),0)</f>
        <v>#N/A</v>
      </c>
    </row>
    <row r="72" spans="2:27" ht="12.75">
      <c r="B72" s="158">
        <v>4</v>
      </c>
      <c r="C72" s="216" t="s">
        <v>80</v>
      </c>
      <c r="D72" s="171">
        <v>27</v>
      </c>
      <c r="E72" s="175">
        <v>6</v>
      </c>
      <c r="F72" s="221" t="s">
        <v>251</v>
      </c>
      <c r="G72" s="151" t="str">
        <f>INDEX(Teams!$B$5:$H$45,MATCH(Results!$C72,Teams!$B$5:$B$45,0),3)</f>
        <v>Orange Bowl</v>
      </c>
      <c r="H72" s="151" t="str">
        <f>INDEX(Teams!$B$5:$H$45,MATCH(Results!$C72,Teams!$B$5:$B$45,0),5)</f>
        <v>Mineral</v>
      </c>
      <c r="I72" s="152" t="str">
        <f>INDEX(Teams!$B$5:$H$45,MATCH(Results!$C72,Teams!$B$5:$B$45,0),6)</f>
        <v>OCSU</v>
      </c>
      <c r="J72" s="152" t="str">
        <f>INDEX(Teams!$B$5:$H$45,MATCH(Results!$F72,Teams!$B$5:$B$45,0),6)</f>
        <v>HRLP</v>
      </c>
      <c r="K72" s="69" t="str">
        <f t="shared" si="11"/>
        <v>OCSUHRLP</v>
      </c>
      <c r="L72" s="68" t="str">
        <f t="shared" si="12"/>
        <v>OCSU</v>
      </c>
      <c r="M72" s="68">
        <f t="shared" si="13"/>
        <v>1</v>
      </c>
      <c r="N72" s="68">
        <f t="shared" si="14"/>
        <v>21</v>
      </c>
      <c r="O72" s="68" t="str">
        <f t="shared" si="15"/>
        <v>Home</v>
      </c>
      <c r="P72" s="68" t="str">
        <f t="shared" si="16"/>
        <v>OCSU4</v>
      </c>
      <c r="Q72" s="68" t="str">
        <f t="shared" si="17"/>
        <v>HRLP4</v>
      </c>
      <c r="R72" s="68">
        <f>INDEX(RankPoints!$B$4:$AK$19,$B72+1,MATCH(Results!$I72,RankPoints!$B$4:$AK$4,0))</f>
        <v>1516</v>
      </c>
      <c r="S72" s="68" t="e">
        <f>INDEX(RankPoints!$B$4:$AK$19,$B72+1,MATCH(Results!$J72,RankPoints!$B$4:$AK$4,0))</f>
        <v>#N/A</v>
      </c>
      <c r="T72" s="68">
        <f t="shared" si="18"/>
        <v>1</v>
      </c>
      <c r="U72" s="155">
        <f t="shared" si="19"/>
        <v>0</v>
      </c>
      <c r="V72" s="156" t="e">
        <f>1/(1+(10^($X72/'[1]Teams'!$F$3)))</f>
        <v>#N/A</v>
      </c>
      <c r="W72" s="157" t="e">
        <f>1/(1+(10^($Y72/'[1]Teams'!$F$3)))</f>
        <v>#N/A</v>
      </c>
      <c r="X72" s="68" t="e">
        <f t="shared" si="20"/>
        <v>#N/A</v>
      </c>
      <c r="Y72" s="155" t="e">
        <f t="shared" si="21"/>
        <v>#N/A</v>
      </c>
      <c r="Z72" s="68" t="e">
        <f>ROUND($R72+(Teams!$H$2*($T72-$V72)),0)</f>
        <v>#N/A</v>
      </c>
      <c r="AA72" s="158" t="e">
        <f>ROUND($S72+(Teams!$H$2*($U72-$W72)),0)</f>
        <v>#N/A</v>
      </c>
    </row>
    <row r="73" spans="2:27" ht="12.75">
      <c r="B73" s="158">
        <v>4</v>
      </c>
      <c r="C73" s="216" t="s">
        <v>156</v>
      </c>
      <c r="D73" s="171">
        <v>13</v>
      </c>
      <c r="E73" s="175">
        <v>26</v>
      </c>
      <c r="F73" s="221" t="s">
        <v>266</v>
      </c>
      <c r="G73" s="151" t="str">
        <f>INDEX(Teams!$B$5:$H$45,MATCH(Results!$C73,Teams!$B$5:$B$45,0),3)</f>
        <v>Luis Cod Memorial Stadium</v>
      </c>
      <c r="H73" s="151" t="str">
        <f>INDEX(Teams!$B$5:$H$45,MATCH(Results!$C73,Teams!$B$5:$B$45,0),5)</f>
        <v>Mineral</v>
      </c>
      <c r="I73" s="152" t="str">
        <f>INDEX(Teams!$B$5:$H$45,MATCH(Results!$C73,Teams!$B$5:$B$45,0),6)</f>
        <v>BLUE</v>
      </c>
      <c r="J73" s="152" t="str">
        <f>INDEX(Teams!$B$5:$H$45,MATCH(Results!$F73,Teams!$B$5:$B$45,0),6)</f>
        <v>UPSL</v>
      </c>
      <c r="K73" s="69" t="str">
        <f t="shared" si="11"/>
        <v>BLUEUPSL</v>
      </c>
      <c r="L73" s="68" t="str">
        <f t="shared" si="12"/>
        <v>UPSL</v>
      </c>
      <c r="M73" s="68">
        <f t="shared" si="13"/>
        <v>1</v>
      </c>
      <c r="N73" s="68">
        <f t="shared" si="14"/>
        <v>13</v>
      </c>
      <c r="O73" s="68" t="str">
        <f t="shared" si="15"/>
        <v>Away</v>
      </c>
      <c r="P73" s="68" t="str">
        <f t="shared" si="16"/>
        <v>BLUE4</v>
      </c>
      <c r="Q73" s="68" t="str">
        <f t="shared" si="17"/>
        <v>UPSL4</v>
      </c>
      <c r="R73" s="68" t="e">
        <f>INDEX(RankPoints!$B$4:$AK$19,$B73+1,MATCH(Results!$I73,RankPoints!$B$4:$AK$4,0))</f>
        <v>#N/A</v>
      </c>
      <c r="S73" s="68">
        <f>INDEX(RankPoints!$B$4:$AK$19,$B73+1,MATCH(Results!$J73,RankPoints!$B$4:$AK$4,0))</f>
        <v>0</v>
      </c>
      <c r="T73" s="68">
        <f t="shared" si="18"/>
        <v>0</v>
      </c>
      <c r="U73" s="155">
        <f t="shared" si="19"/>
        <v>1</v>
      </c>
      <c r="V73" s="156" t="e">
        <f>1/(1+(10^($X73/'[1]Teams'!$F$3)))</f>
        <v>#N/A</v>
      </c>
      <c r="W73" s="157" t="e">
        <f>1/(1+(10^($Y73/'[1]Teams'!$F$3)))</f>
        <v>#N/A</v>
      </c>
      <c r="X73" s="68" t="e">
        <f t="shared" si="20"/>
        <v>#N/A</v>
      </c>
      <c r="Y73" s="155" t="e">
        <f t="shared" si="21"/>
        <v>#N/A</v>
      </c>
      <c r="Z73" s="68" t="e">
        <f>ROUND($R73+(Teams!$H$2*($T73-$V73)),0)</f>
        <v>#N/A</v>
      </c>
      <c r="AA73" s="158" t="e">
        <f>ROUND($S73+(Teams!$H$2*($U73-$W73)),0)</f>
        <v>#N/A</v>
      </c>
    </row>
    <row r="74" spans="2:27" ht="12.75">
      <c r="B74" s="158">
        <v>4</v>
      </c>
      <c r="C74" s="216" t="s">
        <v>155</v>
      </c>
      <c r="D74" s="171">
        <v>23</v>
      </c>
      <c r="E74" s="175">
        <v>17</v>
      </c>
      <c r="F74" s="221" t="s">
        <v>150</v>
      </c>
      <c r="G74" s="151" t="str">
        <f>INDEX(Teams!$B$5:$H$45,MATCH(Results!$C74,Teams!$B$5:$B$45,0),3)</f>
        <v>East Kilbride Area</v>
      </c>
      <c r="H74" s="151" t="str">
        <f>INDEX(Teams!$B$5:$H$45,MATCH(Results!$C74,Teams!$B$5:$B$45,0),5)</f>
        <v>Mineral</v>
      </c>
      <c r="I74" s="152" t="str">
        <f>INDEX(Teams!$B$5:$H$45,MATCH(Results!$C74,Teams!$B$5:$B$45,0),6)</f>
        <v>EKIL</v>
      </c>
      <c r="J74" s="152" t="str">
        <f>INDEX(Teams!$B$5:$H$45,MATCH(Results!$F74,Teams!$B$5:$B$45,0),6)</f>
        <v>RICH</v>
      </c>
      <c r="K74" s="69" t="str">
        <f t="shared" si="11"/>
        <v>EKILRICH</v>
      </c>
      <c r="L74" s="68" t="str">
        <f t="shared" si="12"/>
        <v>EKIL</v>
      </c>
      <c r="M74" s="68">
        <f t="shared" si="13"/>
        <v>1</v>
      </c>
      <c r="N74" s="68">
        <f t="shared" si="14"/>
        <v>6</v>
      </c>
      <c r="O74" s="68" t="str">
        <f t="shared" si="15"/>
        <v>Home</v>
      </c>
      <c r="P74" s="68" t="str">
        <f t="shared" si="16"/>
        <v>EKIL4</v>
      </c>
      <c r="Q74" s="68" t="str">
        <f t="shared" si="17"/>
        <v>RICH4</v>
      </c>
      <c r="R74" s="68" t="e">
        <f>INDEX(RankPoints!$B$4:$AK$19,$B74+1,MATCH(Results!$I74,RankPoints!$B$4:$AK$4,0))</f>
        <v>#N/A</v>
      </c>
      <c r="S74" s="68" t="e">
        <f>INDEX(RankPoints!$B$4:$AK$19,$B74+1,MATCH(Results!$J74,RankPoints!$B$4:$AK$4,0))</f>
        <v>#N/A</v>
      </c>
      <c r="T74" s="68">
        <f t="shared" si="18"/>
        <v>1</v>
      </c>
      <c r="U74" s="155">
        <f t="shared" si="19"/>
        <v>0</v>
      </c>
      <c r="V74" s="156" t="e">
        <f>1/(1+(10^($X74/'[1]Teams'!$F$3)))</f>
        <v>#N/A</v>
      </c>
      <c r="W74" s="157" t="e">
        <f>1/(1+(10^($Y74/'[1]Teams'!$F$3)))</f>
        <v>#N/A</v>
      </c>
      <c r="X74" s="68" t="e">
        <f t="shared" si="20"/>
        <v>#N/A</v>
      </c>
      <c r="Y74" s="155" t="e">
        <f t="shared" si="21"/>
        <v>#N/A</v>
      </c>
      <c r="Z74" s="68" t="e">
        <f>ROUND($R74+(Teams!$H$2*($T74-$V74)),0)</f>
        <v>#N/A</v>
      </c>
      <c r="AA74" s="158" t="e">
        <f>ROUND($S74+(Teams!$H$2*($U74-$W74)),0)</f>
        <v>#N/A</v>
      </c>
    </row>
    <row r="75" spans="2:27" ht="12.75">
      <c r="B75" s="158">
        <v>4</v>
      </c>
      <c r="C75" s="216" t="s">
        <v>269</v>
      </c>
      <c r="D75" s="171">
        <v>10</v>
      </c>
      <c r="E75" s="175">
        <v>0</v>
      </c>
      <c r="F75" s="221" t="s">
        <v>111</v>
      </c>
      <c r="G75" s="151" t="str">
        <f>INDEX(Teams!$B$5:$H$45,MATCH(Results!$C75,Teams!$B$5:$B$45,0),3)</f>
        <v>St John's Castle</v>
      </c>
      <c r="H75" s="151" t="str">
        <f>INDEX(Teams!$B$5:$H$45,MATCH(Results!$C75,Teams!$B$5:$B$45,0),5)</f>
        <v>Sequoia</v>
      </c>
      <c r="I75" s="152" t="str">
        <f>INDEX(Teams!$B$5:$H$45,MATCH(Results!$C75,Teams!$B$5:$B$45,0),6)</f>
        <v>STJN</v>
      </c>
      <c r="J75" s="152" t="str">
        <f>INDEX(Teams!$B$5:$H$45,MATCH(Results!$F75,Teams!$B$5:$B$45,0),6)</f>
        <v>NRDN</v>
      </c>
      <c r="K75" s="69" t="str">
        <f t="shared" si="11"/>
        <v>STJNNRDN</v>
      </c>
      <c r="L75" s="68" t="str">
        <f t="shared" si="12"/>
        <v>STJN</v>
      </c>
      <c r="M75" s="68">
        <f t="shared" si="13"/>
        <v>1</v>
      </c>
      <c r="N75" s="68">
        <f t="shared" si="14"/>
        <v>10</v>
      </c>
      <c r="O75" s="68" t="str">
        <f t="shared" si="15"/>
        <v>Home</v>
      </c>
      <c r="P75" s="68" t="str">
        <f t="shared" si="16"/>
        <v>STJN4</v>
      </c>
      <c r="Q75" s="68" t="str">
        <f t="shared" si="17"/>
        <v>NRDN4</v>
      </c>
      <c r="R75" s="68">
        <f>INDEX(RankPoints!$B$4:$AK$19,$B75+1,MATCH(Results!$I75,RankPoints!$B$4:$AK$4,0))</f>
        <v>1599</v>
      </c>
      <c r="S75" s="68">
        <f>INDEX(RankPoints!$B$4:$AK$19,$B75+1,MATCH(Results!$J75,RankPoints!$B$4:$AK$4,0))</f>
        <v>21</v>
      </c>
      <c r="T75" s="68">
        <f t="shared" si="18"/>
        <v>1</v>
      </c>
      <c r="U75" s="155">
        <f t="shared" si="19"/>
        <v>0</v>
      </c>
      <c r="V75" s="156">
        <f>1/(1+(10^($X75/'[1]Teams'!$F$3)))</f>
        <v>0.00011348820053372584</v>
      </c>
      <c r="W75" s="157">
        <f>1/(1+(10^($Y75/'[1]Teams'!$F$3)))</f>
        <v>0.9998865117994663</v>
      </c>
      <c r="X75" s="68">
        <f t="shared" si="20"/>
        <v>1578</v>
      </c>
      <c r="Y75" s="155">
        <f t="shared" si="21"/>
        <v>-1578</v>
      </c>
      <c r="Z75" s="68">
        <f>ROUND($R75+(Teams!$H$2*($T75-$V75)),0)</f>
        <v>1631</v>
      </c>
      <c r="AA75" s="158">
        <f>ROUND($S75+(Teams!$H$2*($U75-$W75)),0)</f>
        <v>-11</v>
      </c>
    </row>
    <row r="76" spans="2:27" ht="12.75">
      <c r="B76" s="158">
        <v>4</v>
      </c>
      <c r="C76" s="216" t="s">
        <v>79</v>
      </c>
      <c r="D76" s="171">
        <v>34</v>
      </c>
      <c r="E76" s="175">
        <v>17</v>
      </c>
      <c r="F76" s="221" t="s">
        <v>119</v>
      </c>
      <c r="G76" s="151" t="str">
        <f>INDEX(Teams!$B$5:$H$45,MATCH(Results!$C76,Teams!$B$5:$B$45,0),3)</f>
        <v>Anatidae Field</v>
      </c>
      <c r="H76" s="151" t="str">
        <f>INDEX(Teams!$B$5:$H$45,MATCH(Results!$C76,Teams!$B$5:$B$45,0),5)</f>
        <v>Sequoia</v>
      </c>
      <c r="I76" s="152" t="str">
        <f>INDEX(Teams!$B$5:$H$45,MATCH(Results!$C76,Teams!$B$5:$B$45,0),6)</f>
        <v>RVMD</v>
      </c>
      <c r="J76" s="152" t="str">
        <f>INDEX(Teams!$B$5:$H$45,MATCH(Results!$F76,Teams!$B$5:$B$45,0),6)</f>
        <v>NETT</v>
      </c>
      <c r="K76" s="69" t="str">
        <f t="shared" si="11"/>
        <v>RVMDNETT</v>
      </c>
      <c r="L76" s="68" t="str">
        <f t="shared" si="12"/>
        <v>RVMD</v>
      </c>
      <c r="M76" s="68">
        <f t="shared" si="13"/>
        <v>1</v>
      </c>
      <c r="N76" s="68">
        <f t="shared" si="14"/>
        <v>17</v>
      </c>
      <c r="O76" s="68" t="str">
        <f t="shared" si="15"/>
        <v>Home</v>
      </c>
      <c r="P76" s="68" t="str">
        <f t="shared" si="16"/>
        <v>RVMD4</v>
      </c>
      <c r="Q76" s="68" t="str">
        <f t="shared" si="17"/>
        <v>NETT4</v>
      </c>
      <c r="R76" s="68">
        <f>INDEX(RankPoints!$B$4:$AK$19,$B76+1,MATCH(Results!$I76,RankPoints!$B$4:$AK$4,0))</f>
        <v>1546</v>
      </c>
      <c r="S76" s="68" t="e">
        <f>INDEX(RankPoints!$B$4:$AK$19,$B76+1,MATCH(Results!$J76,RankPoints!$B$4:$AK$4,0))</f>
        <v>#N/A</v>
      </c>
      <c r="T76" s="68">
        <f t="shared" si="18"/>
        <v>1</v>
      </c>
      <c r="U76" s="155">
        <f t="shared" si="19"/>
        <v>0</v>
      </c>
      <c r="V76" s="156" t="e">
        <f>1/(1+(10^($X76/'[1]Teams'!$F$3)))</f>
        <v>#N/A</v>
      </c>
      <c r="W76" s="157" t="e">
        <f>1/(1+(10^($Y76/'[1]Teams'!$F$3)))</f>
        <v>#N/A</v>
      </c>
      <c r="X76" s="68" t="e">
        <f t="shared" si="20"/>
        <v>#N/A</v>
      </c>
      <c r="Y76" s="155" t="e">
        <f t="shared" si="21"/>
        <v>#N/A</v>
      </c>
      <c r="Z76" s="68" t="e">
        <f>ROUND($R76+(Teams!$H$2*($T76-$V76)),0)</f>
        <v>#N/A</v>
      </c>
      <c r="AA76" s="158" t="e">
        <f>ROUND($S76+(Teams!$H$2*($U76-$W76)),0)</f>
        <v>#N/A</v>
      </c>
    </row>
    <row r="77" spans="2:27" ht="12.75">
      <c r="B77" s="158">
        <v>4</v>
      </c>
      <c r="C77" s="216" t="s">
        <v>265</v>
      </c>
      <c r="D77" s="171">
        <v>0</v>
      </c>
      <c r="E77" s="175">
        <v>16</v>
      </c>
      <c r="F77" s="221" t="s">
        <v>112</v>
      </c>
      <c r="G77" s="151" t="str">
        <f>INDEX(Teams!$B$5:$H$45,MATCH(Results!$C77,Teams!$B$5:$B$45,0),3)</f>
        <v>Extraterrestrial Dome of Sport</v>
      </c>
      <c r="H77" s="151" t="str">
        <f>INDEX(Teams!$B$5:$H$45,MATCH(Results!$C77,Teams!$B$5:$B$45,0),5)</f>
        <v>Sequoia</v>
      </c>
      <c r="I77" s="152" t="str">
        <f>INDEX(Teams!$B$5:$H$45,MATCH(Results!$C77,Teams!$B$5:$B$45,0),6)</f>
        <v>ACSP</v>
      </c>
      <c r="J77" s="152" t="str">
        <f>INDEX(Teams!$B$5:$H$45,MATCH(Results!$F77,Teams!$B$5:$B$45,0),6)</f>
        <v>FHST</v>
      </c>
      <c r="K77" s="69" t="str">
        <f t="shared" si="11"/>
        <v>ACSPFHST</v>
      </c>
      <c r="L77" s="68" t="str">
        <f t="shared" si="12"/>
        <v>FHST</v>
      </c>
      <c r="M77" s="68">
        <f t="shared" si="13"/>
        <v>1</v>
      </c>
      <c r="N77" s="68">
        <f t="shared" si="14"/>
        <v>16</v>
      </c>
      <c r="O77" s="68" t="str">
        <f t="shared" si="15"/>
        <v>Away</v>
      </c>
      <c r="P77" s="68" t="str">
        <f t="shared" si="16"/>
        <v>ACSP4</v>
      </c>
      <c r="Q77" s="68" t="str">
        <f t="shared" si="17"/>
        <v>FHST4</v>
      </c>
      <c r="R77" s="68" t="e">
        <f>INDEX(RankPoints!$B$4:$AK$19,$B77+1,MATCH(Results!$I77,RankPoints!$B$4:$AK$4,0))</f>
        <v>#N/A</v>
      </c>
      <c r="S77" s="68">
        <f>INDEX(RankPoints!$B$4:$AK$19,$B77+1,MATCH(Results!$J77,RankPoints!$B$4:$AK$4,0))</f>
        <v>-3091</v>
      </c>
      <c r="T77" s="68">
        <f t="shared" si="18"/>
        <v>0</v>
      </c>
      <c r="U77" s="155">
        <f t="shared" si="19"/>
        <v>1</v>
      </c>
      <c r="V77" s="156" t="e">
        <f>1/(1+(10^($X77/'[1]Teams'!$F$3)))</f>
        <v>#N/A</v>
      </c>
      <c r="W77" s="157" t="e">
        <f>1/(1+(10^($Y77/'[1]Teams'!$F$3)))</f>
        <v>#N/A</v>
      </c>
      <c r="X77" s="68" t="e">
        <f t="shared" si="20"/>
        <v>#N/A</v>
      </c>
      <c r="Y77" s="155" t="e">
        <f t="shared" si="21"/>
        <v>#N/A</v>
      </c>
      <c r="Z77" s="68" t="e">
        <f>ROUND($R77+(Teams!$H$2*($T77-$V77)),0)</f>
        <v>#N/A</v>
      </c>
      <c r="AA77" s="158" t="e">
        <f>ROUND($S77+(Teams!$H$2*($U77-$W77)),0)</f>
        <v>#N/A</v>
      </c>
    </row>
    <row r="78" spans="2:27" ht="12.75">
      <c r="B78" s="158">
        <v>4</v>
      </c>
      <c r="C78" s="216" t="s">
        <v>117</v>
      </c>
      <c r="D78" s="171">
        <v>0</v>
      </c>
      <c r="E78" s="175">
        <v>24</v>
      </c>
      <c r="F78" s="221" t="s">
        <v>19</v>
      </c>
      <c r="G78" s="151" t="str">
        <f>INDEX(Teams!$B$5:$H$45,MATCH(Results!$C78,Teams!$B$5:$B$45,0),3)</f>
        <v>Rimben Park</v>
      </c>
      <c r="H78" s="151" t="str">
        <f>INDEX(Teams!$B$5:$H$45,MATCH(Results!$C78,Teams!$B$5:$B$45,0),5)</f>
        <v>Sequoia</v>
      </c>
      <c r="I78" s="152" t="str">
        <f>INDEX(Teams!$B$5:$H$45,MATCH(Results!$C78,Teams!$B$5:$B$45,0),6)</f>
        <v>ALUT</v>
      </c>
      <c r="J78" s="152" t="str">
        <f>INDEX(Teams!$B$5:$H$45,MATCH(Results!$F78,Teams!$B$5:$B$45,0),6)</f>
        <v>ALZD</v>
      </c>
      <c r="K78" s="69" t="str">
        <f t="shared" si="11"/>
        <v>ALUTALZD</v>
      </c>
      <c r="L78" s="68" t="str">
        <f t="shared" si="12"/>
        <v>ALZD</v>
      </c>
      <c r="M78" s="68">
        <f t="shared" si="13"/>
        <v>1</v>
      </c>
      <c r="N78" s="68">
        <f t="shared" si="14"/>
        <v>24</v>
      </c>
      <c r="O78" s="68" t="str">
        <f t="shared" si="15"/>
        <v>Away</v>
      </c>
      <c r="P78" s="68" t="str">
        <f t="shared" si="16"/>
        <v>ALUT4</v>
      </c>
      <c r="Q78" s="68" t="str">
        <f t="shared" si="17"/>
        <v>ALZD4</v>
      </c>
      <c r="R78" s="68" t="e">
        <f>INDEX(RankPoints!$B$4:$AK$19,$B78+1,MATCH(Results!$I78,RankPoints!$B$4:$AK$4,0))</f>
        <v>#N/A</v>
      </c>
      <c r="S78" s="68">
        <f>INDEX(RankPoints!$B$4:$AK$19,$B78+1,MATCH(Results!$J78,RankPoints!$B$4:$AK$4,0))</f>
        <v>1500</v>
      </c>
      <c r="T78" s="68">
        <f t="shared" si="18"/>
        <v>0</v>
      </c>
      <c r="U78" s="155">
        <f t="shared" si="19"/>
        <v>1</v>
      </c>
      <c r="V78" s="156" t="e">
        <f>1/(1+(10^($X78/'[1]Teams'!$F$3)))</f>
        <v>#N/A</v>
      </c>
      <c r="W78" s="157" t="e">
        <f>1/(1+(10^($Y78/'[1]Teams'!$F$3)))</f>
        <v>#N/A</v>
      </c>
      <c r="X78" s="68" t="e">
        <f t="shared" si="20"/>
        <v>#N/A</v>
      </c>
      <c r="Y78" s="155" t="e">
        <f t="shared" si="21"/>
        <v>#N/A</v>
      </c>
      <c r="Z78" s="68" t="e">
        <f>ROUND($R78+(Teams!$H$2*($T78-$V78)),0)</f>
        <v>#N/A</v>
      </c>
      <c r="AA78" s="158" t="e">
        <f>ROUND($S78+(Teams!$H$2*($U78-$W78)),0)</f>
        <v>#N/A</v>
      </c>
    </row>
    <row r="79" spans="2:27" ht="12.75">
      <c r="B79" s="158">
        <v>4</v>
      </c>
      <c r="C79" s="216" t="s">
        <v>152</v>
      </c>
      <c r="D79" s="171">
        <v>3</v>
      </c>
      <c r="E79" s="175">
        <v>45</v>
      </c>
      <c r="F79" s="221" t="s">
        <v>125</v>
      </c>
      <c r="G79" s="151" t="str">
        <f>INDEX(Teams!$B$5:$H$45,MATCH(Results!$C79,Teams!$B$5:$B$45,0),3)</f>
        <v>Trent Community Park</v>
      </c>
      <c r="H79" s="151" t="str">
        <f>INDEX(Teams!$B$5:$H$45,MATCH(Results!$C79,Teams!$B$5:$B$45,0),5)</f>
        <v>Woodlands</v>
      </c>
      <c r="I79" s="152" t="str">
        <f>INDEX(Teams!$B$5:$H$45,MATCH(Results!$C79,Teams!$B$5:$B$45,0),6)</f>
        <v>WALT</v>
      </c>
      <c r="J79" s="152" t="str">
        <f>INDEX(Teams!$B$5:$H$45,MATCH(Results!$F79,Teams!$B$5:$B$45,0),6)</f>
        <v>JGZA</v>
      </c>
      <c r="K79" s="69" t="str">
        <f t="shared" si="11"/>
        <v>WALTJGZA</v>
      </c>
      <c r="L79" s="68" t="str">
        <f t="shared" si="12"/>
        <v>JGZA</v>
      </c>
      <c r="M79" s="68">
        <f t="shared" si="13"/>
        <v>1</v>
      </c>
      <c r="N79" s="68">
        <f t="shared" si="14"/>
        <v>42</v>
      </c>
      <c r="O79" s="68" t="str">
        <f t="shared" si="15"/>
        <v>Away</v>
      </c>
      <c r="P79" s="68" t="str">
        <f t="shared" si="16"/>
        <v>WALT4</v>
      </c>
      <c r="Q79" s="68" t="str">
        <f t="shared" si="17"/>
        <v>JGZA4</v>
      </c>
      <c r="R79" s="68" t="e">
        <f>INDEX(RankPoints!$B$4:$AK$19,$B79+1,MATCH(Results!$I79,RankPoints!$B$4:$AK$4,0))</f>
        <v>#N/A</v>
      </c>
      <c r="S79" s="68" t="e">
        <f>INDEX(RankPoints!$B$4:$AK$19,$B79+1,MATCH(Results!$J79,RankPoints!$B$4:$AK$4,0))</f>
        <v>#N/A</v>
      </c>
      <c r="T79" s="68">
        <f t="shared" si="18"/>
        <v>0</v>
      </c>
      <c r="U79" s="155">
        <f t="shared" si="19"/>
        <v>1</v>
      </c>
      <c r="V79" s="156" t="e">
        <f>1/(1+(10^($X79/'[1]Teams'!$F$3)))</f>
        <v>#N/A</v>
      </c>
      <c r="W79" s="157" t="e">
        <f>1/(1+(10^($Y79/'[1]Teams'!$F$3)))</f>
        <v>#N/A</v>
      </c>
      <c r="X79" s="68" t="e">
        <f t="shared" si="20"/>
        <v>#N/A</v>
      </c>
      <c r="Y79" s="155" t="e">
        <f t="shared" si="21"/>
        <v>#N/A</v>
      </c>
      <c r="Z79" s="68" t="e">
        <f>ROUND($R79+(Teams!$H$2*($T79-$V79)),0)</f>
        <v>#N/A</v>
      </c>
      <c r="AA79" s="158" t="e">
        <f>ROUND($S79+(Teams!$H$2*($U79-$W79)),0)</f>
        <v>#N/A</v>
      </c>
    </row>
    <row r="80" spans="2:27" ht="12.75">
      <c r="B80" s="158">
        <v>4</v>
      </c>
      <c r="C80" s="216" t="s">
        <v>110</v>
      </c>
      <c r="D80" s="171">
        <v>51</v>
      </c>
      <c r="E80" s="175">
        <v>10</v>
      </c>
      <c r="F80" s="221" t="s">
        <v>109</v>
      </c>
      <c r="G80" s="151" t="str">
        <f>INDEX(Teams!$B$5:$H$45,MATCH(Results!$C80,Teams!$B$5:$B$45,0),3)</f>
        <v>Martin Connors Memorial Field</v>
      </c>
      <c r="H80" s="151" t="str">
        <f>INDEX(Teams!$B$5:$H$45,MATCH(Results!$C80,Teams!$B$5:$B$45,0),5)</f>
        <v>Woodlands</v>
      </c>
      <c r="I80" s="152" t="str">
        <f>INDEX(Teams!$B$5:$H$45,MATCH(Results!$C80,Teams!$B$5:$B$45,0),6)</f>
        <v>UTCA</v>
      </c>
      <c r="J80" s="152" t="str">
        <f>INDEX(Teams!$B$5:$H$45,MATCH(Results!$F80,Teams!$B$5:$B$45,0),6)</f>
        <v>ARKN</v>
      </c>
      <c r="K80" s="69" t="str">
        <f t="shared" si="11"/>
        <v>UTCAARKN</v>
      </c>
      <c r="L80" s="68" t="str">
        <f t="shared" si="12"/>
        <v>UTCA</v>
      </c>
      <c r="M80" s="68">
        <f t="shared" si="13"/>
        <v>1</v>
      </c>
      <c r="N80" s="68">
        <f t="shared" si="14"/>
        <v>41</v>
      </c>
      <c r="O80" s="68" t="str">
        <f t="shared" si="15"/>
        <v>Home</v>
      </c>
      <c r="P80" s="68" t="str">
        <f t="shared" si="16"/>
        <v>UTCA4</v>
      </c>
      <c r="Q80" s="68" t="str">
        <f t="shared" si="17"/>
        <v>ARKN4</v>
      </c>
      <c r="R80" s="68">
        <f>INDEX(RankPoints!$B$4:$AK$19,$B80+1,MATCH(Results!$I80,RankPoints!$B$4:$AK$4,0))</f>
        <v>1472</v>
      </c>
      <c r="S80" s="68">
        <f>INDEX(RankPoints!$B$4:$AK$19,$B80+1,MATCH(Results!$J80,RankPoints!$B$4:$AK$4,0))</f>
        <v>1798</v>
      </c>
      <c r="T80" s="68">
        <f t="shared" si="18"/>
        <v>1</v>
      </c>
      <c r="U80" s="155">
        <f t="shared" si="19"/>
        <v>0</v>
      </c>
      <c r="V80" s="156">
        <f>1/(1+(10^($X80/'[1]Teams'!$F$3)))</f>
        <v>0.8672208959675437</v>
      </c>
      <c r="W80" s="157">
        <f>1/(1+(10^($Y80/'[1]Teams'!$F$3)))</f>
        <v>0.13277910403245627</v>
      </c>
      <c r="X80" s="68">
        <f t="shared" si="20"/>
        <v>-326</v>
      </c>
      <c r="Y80" s="155">
        <f t="shared" si="21"/>
        <v>326</v>
      </c>
      <c r="Z80" s="68">
        <f>ROUND($R80+(Teams!$H$2*($T80-$V80)),0)</f>
        <v>1476</v>
      </c>
      <c r="AA80" s="158">
        <f>ROUND($S80+(Teams!$H$2*($U80-$W80)),0)</f>
        <v>1794</v>
      </c>
    </row>
    <row r="81" spans="2:27" ht="12.75">
      <c r="B81" s="158">
        <v>4</v>
      </c>
      <c r="C81" s="216" t="s">
        <v>127</v>
      </c>
      <c r="D81" s="171">
        <v>3</v>
      </c>
      <c r="E81" s="175">
        <v>25</v>
      </c>
      <c r="F81" s="221" t="s">
        <v>158</v>
      </c>
      <c r="G81" s="151" t="str">
        <f>INDEX(Teams!$B$5:$H$45,MATCH(Results!$C81,Teams!$B$5:$B$45,0),3)</f>
        <v>Glenn Memorial Stadium</v>
      </c>
      <c r="H81" s="151" t="str">
        <f>INDEX(Teams!$B$5:$H$45,MATCH(Results!$C81,Teams!$B$5:$B$45,0),5)</f>
        <v>Woodlands</v>
      </c>
      <c r="I81" s="152" t="str">
        <f>INDEX(Teams!$B$5:$H$45,MATCH(Results!$C81,Teams!$B$5:$B$45,0),6)</f>
        <v>BUCK</v>
      </c>
      <c r="J81" s="152" t="str">
        <f>INDEX(Teams!$B$5:$H$45,MATCH(Results!$F81,Teams!$B$5:$B$45,0),6)</f>
        <v>TOUF</v>
      </c>
      <c r="K81" s="69" t="str">
        <f t="shared" si="11"/>
        <v>BUCKTOUF</v>
      </c>
      <c r="L81" s="68" t="str">
        <f t="shared" si="12"/>
        <v>TOUF</v>
      </c>
      <c r="M81" s="68">
        <f t="shared" si="13"/>
        <v>1</v>
      </c>
      <c r="N81" s="68">
        <f t="shared" si="14"/>
        <v>22</v>
      </c>
      <c r="O81" s="68" t="str">
        <f t="shared" si="15"/>
        <v>Away</v>
      </c>
      <c r="P81" s="68" t="str">
        <f t="shared" si="16"/>
        <v>BUCK4</v>
      </c>
      <c r="Q81" s="68" t="str">
        <f t="shared" si="17"/>
        <v>TOUF4</v>
      </c>
      <c r="R81" s="68" t="e">
        <f>INDEX(RankPoints!$B$4:$AK$19,$B81+1,MATCH(Results!$I81,RankPoints!$B$4:$AK$4,0))</f>
        <v>#N/A</v>
      </c>
      <c r="S81" s="68" t="e">
        <f>INDEX(RankPoints!$B$4:$AK$19,$B81+1,MATCH(Results!$J81,RankPoints!$B$4:$AK$4,0))</f>
        <v>#N/A</v>
      </c>
      <c r="T81" s="68">
        <f t="shared" si="18"/>
        <v>0</v>
      </c>
      <c r="U81" s="155">
        <f t="shared" si="19"/>
        <v>1</v>
      </c>
      <c r="V81" s="156" t="e">
        <f>1/(1+(10^($X81/'[1]Teams'!$F$3)))</f>
        <v>#N/A</v>
      </c>
      <c r="W81" s="157" t="e">
        <f>1/(1+(10^($Y81/'[1]Teams'!$F$3)))</f>
        <v>#N/A</v>
      </c>
      <c r="X81" s="68" t="e">
        <f t="shared" si="20"/>
        <v>#N/A</v>
      </c>
      <c r="Y81" s="155" t="e">
        <f t="shared" si="21"/>
        <v>#N/A</v>
      </c>
      <c r="Z81" s="68" t="e">
        <f>ROUND($R81+(Teams!$H$2*($T81-$V81)),0)</f>
        <v>#N/A</v>
      </c>
      <c r="AA81" s="158" t="e">
        <f>ROUND($S81+(Teams!$H$2*($U81-$W81)),0)</f>
        <v>#N/A</v>
      </c>
    </row>
    <row r="82" spans="2:27" ht="12.75">
      <c r="B82" s="158">
        <v>4</v>
      </c>
      <c r="C82" s="216" t="s">
        <v>78</v>
      </c>
      <c r="D82" s="171">
        <v>40</v>
      </c>
      <c r="E82" s="175">
        <v>0</v>
      </c>
      <c r="F82" s="221" t="s">
        <v>255</v>
      </c>
      <c r="G82" s="151" t="str">
        <f>INDEX(Teams!$B$5:$H$45,MATCH(Results!$C82,Teams!$B$5:$B$45,0),3)</f>
        <v>Red Plains Stadium</v>
      </c>
      <c r="H82" s="151" t="str">
        <f>INDEX(Teams!$B$5:$H$45,MATCH(Results!$C82,Teams!$B$5:$B$45,0),5)</f>
        <v>Woodlands</v>
      </c>
      <c r="I82" s="152" t="str">
        <f>INDEX(Teams!$B$5:$H$45,MATCH(Results!$C82,Teams!$B$5:$B$45,0),6)</f>
        <v>FRBB</v>
      </c>
      <c r="J82" s="152" t="str">
        <f>INDEX(Teams!$B$5:$H$45,MATCH(Results!$F82,Teams!$B$5:$B$45,0),6)</f>
        <v>HUDS</v>
      </c>
      <c r="K82" s="69" t="str">
        <f t="shared" si="11"/>
        <v>FRBBHUDS</v>
      </c>
      <c r="L82" s="68" t="str">
        <f t="shared" si="12"/>
        <v>FRBB</v>
      </c>
      <c r="M82" s="68">
        <f t="shared" si="13"/>
        <v>1</v>
      </c>
      <c r="N82" s="68">
        <f t="shared" si="14"/>
        <v>40</v>
      </c>
      <c r="O82" s="68" t="str">
        <f t="shared" si="15"/>
        <v>Home</v>
      </c>
      <c r="P82" s="68" t="str">
        <f t="shared" si="16"/>
        <v>FRBB4</v>
      </c>
      <c r="Q82" s="68" t="str">
        <f t="shared" si="17"/>
        <v>HUDS4</v>
      </c>
      <c r="R82" s="68">
        <f>INDEX(RankPoints!$B$4:$AK$19,$B82+1,MATCH(Results!$I82,RankPoints!$B$4:$AK$4,0))</f>
        <v>351</v>
      </c>
      <c r="S82" s="68" t="e">
        <f>INDEX(RankPoints!$B$4:$AK$19,$B82+1,MATCH(Results!$J82,RankPoints!$B$4:$AK$4,0))</f>
        <v>#N/A</v>
      </c>
      <c r="T82" s="68">
        <f t="shared" si="18"/>
        <v>1</v>
      </c>
      <c r="U82" s="155">
        <f t="shared" si="19"/>
        <v>0</v>
      </c>
      <c r="V82" s="156" t="e">
        <f>1/(1+(10^($X82/'[1]Teams'!$F$3)))</f>
        <v>#N/A</v>
      </c>
      <c r="W82" s="157" t="e">
        <f>1/(1+(10^($Y82/'[1]Teams'!$F$3)))</f>
        <v>#N/A</v>
      </c>
      <c r="X82" s="68" t="e">
        <f t="shared" si="20"/>
        <v>#N/A</v>
      </c>
      <c r="Y82" s="155" t="e">
        <f t="shared" si="21"/>
        <v>#N/A</v>
      </c>
      <c r="Z82" s="68" t="e">
        <f>ROUND($R82+(Teams!$H$2*($T82-$V82)),0)</f>
        <v>#N/A</v>
      </c>
      <c r="AA82" s="158" t="e">
        <f>ROUND($S82+(Teams!$H$2*($U82-$W82)),0)</f>
        <v>#N/A</v>
      </c>
    </row>
    <row r="83" spans="2:27" ht="12.75">
      <c r="B83" s="158">
        <v>5</v>
      </c>
      <c r="C83" s="216" t="s">
        <v>148</v>
      </c>
      <c r="D83" s="171">
        <v>23</v>
      </c>
      <c r="E83" s="175">
        <v>29</v>
      </c>
      <c r="F83" s="221" t="s">
        <v>271</v>
      </c>
      <c r="G83" s="151" t="str">
        <f>INDEX(Teams!$B$5:$H$45,MATCH(Results!$C83,Teams!$B$5:$B$45,0),3)</f>
        <v>National Stadium</v>
      </c>
      <c r="H83" s="151" t="str">
        <f>INDEX(Teams!$B$5:$H$45,MATCH(Results!$C83,Teams!$B$5:$B$45,0),5)</f>
        <v>Big Eight</v>
      </c>
      <c r="I83" s="152" t="str">
        <f>INDEX(Teams!$B$5:$H$45,MATCH(Results!$C83,Teams!$B$5:$B$45,0),6)</f>
        <v>RELK</v>
      </c>
      <c r="J83" s="152" t="str">
        <f>INDEX(Teams!$B$5:$H$45,MATCH(Results!$F83,Teams!$B$5:$B$45,0),6)</f>
        <v>WAA</v>
      </c>
      <c r="K83" s="69" t="str">
        <f t="shared" si="11"/>
        <v>RELKWAA</v>
      </c>
      <c r="L83" s="68" t="str">
        <f t="shared" si="12"/>
        <v>WAA</v>
      </c>
      <c r="M83" s="68">
        <f t="shared" si="13"/>
        <v>1</v>
      </c>
      <c r="N83" s="68">
        <f t="shared" si="14"/>
        <v>6</v>
      </c>
      <c r="O83" s="68" t="str">
        <f t="shared" si="15"/>
        <v>Away</v>
      </c>
      <c r="P83" s="68" t="str">
        <f t="shared" si="16"/>
        <v>RELK5</v>
      </c>
      <c r="Q83" s="68" t="str">
        <f t="shared" si="17"/>
        <v>WAA5</v>
      </c>
      <c r="R83" s="68" t="e">
        <f>INDEX(RankPoints!$B$4:$AK$19,$B83+1,MATCH(Results!$I83,RankPoints!$B$4:$AK$4,0))</f>
        <v>#N/A</v>
      </c>
      <c r="S83" s="68" t="e">
        <f>INDEX(RankPoints!$B$4:$AK$19,$B83+1,MATCH(Results!$J83,RankPoints!$B$4:$AK$4,0))</f>
        <v>#N/A</v>
      </c>
      <c r="T83" s="68">
        <f t="shared" si="18"/>
        <v>0</v>
      </c>
      <c r="U83" s="155">
        <f t="shared" si="19"/>
        <v>1</v>
      </c>
      <c r="V83" s="156" t="e">
        <f>1/(1+(10^($X83/'[1]Teams'!$F$3)))</f>
        <v>#N/A</v>
      </c>
      <c r="W83" s="157" t="e">
        <f>1/(1+(10^($Y83/'[1]Teams'!$F$3)))</f>
        <v>#N/A</v>
      </c>
      <c r="X83" s="68" t="e">
        <f t="shared" si="20"/>
        <v>#N/A</v>
      </c>
      <c r="Y83" s="155" t="e">
        <f t="shared" si="21"/>
        <v>#N/A</v>
      </c>
      <c r="Z83" s="68" t="e">
        <f>ROUND($R83+(Teams!$H$2*($T83-$V83)),0)</f>
        <v>#N/A</v>
      </c>
      <c r="AA83" s="158" t="e">
        <f>ROUND($S83+(Teams!$H$2*($U83-$W83)),0)</f>
        <v>#N/A</v>
      </c>
    </row>
    <row r="84" spans="2:27" ht="12.75">
      <c r="B84" s="158">
        <v>5</v>
      </c>
      <c r="C84" s="216" t="s">
        <v>77</v>
      </c>
      <c r="D84" s="171">
        <v>17</v>
      </c>
      <c r="E84" s="175">
        <v>3</v>
      </c>
      <c r="F84" s="221" t="s">
        <v>270</v>
      </c>
      <c r="G84" s="151" t="str">
        <f>INDEX(Teams!$B$5:$H$45,MATCH(Results!$C84,Teams!$B$5:$B$45,0),3)</f>
        <v>Montbenoit Dome</v>
      </c>
      <c r="H84" s="151" t="str">
        <f>INDEX(Teams!$B$5:$H$45,MATCH(Results!$C84,Teams!$B$5:$B$45,0),5)</f>
        <v>Big Eight</v>
      </c>
      <c r="I84" s="152" t="str">
        <f>INDEX(Teams!$B$5:$H$45,MATCH(Results!$C84,Teams!$B$5:$B$45,0),6)</f>
        <v>SAUG</v>
      </c>
      <c r="J84" s="152" t="str">
        <f>INDEX(Teams!$B$5:$H$45,MATCH(Results!$F84,Teams!$B$5:$B$45,0),6)</f>
        <v>BUGN</v>
      </c>
      <c r="K84" s="69" t="str">
        <f t="shared" si="11"/>
        <v>SAUGBUGN</v>
      </c>
      <c r="L84" s="68" t="str">
        <f t="shared" si="12"/>
        <v>SAUG</v>
      </c>
      <c r="M84" s="68">
        <f t="shared" si="13"/>
        <v>1</v>
      </c>
      <c r="N84" s="68">
        <f t="shared" si="14"/>
        <v>14</v>
      </c>
      <c r="O84" s="68" t="str">
        <f t="shared" si="15"/>
        <v>Home</v>
      </c>
      <c r="P84" s="68" t="str">
        <f t="shared" si="16"/>
        <v>SAUG5</v>
      </c>
      <c r="Q84" s="68" t="str">
        <f t="shared" si="17"/>
        <v>BUGN5</v>
      </c>
      <c r="R84" s="68">
        <f>INDEX(RankPoints!$B$4:$AK$19,$B84+1,MATCH(Results!$I84,RankPoints!$B$4:$AK$4,0))</f>
        <v>0</v>
      </c>
      <c r="S84" s="68">
        <f>INDEX(RankPoints!$B$4:$AK$19,$B84+1,MATCH(Results!$J84,RankPoints!$B$4:$AK$4,0))</f>
        <v>1651</v>
      </c>
      <c r="T84" s="68">
        <f t="shared" si="18"/>
        <v>1</v>
      </c>
      <c r="U84" s="155">
        <f t="shared" si="19"/>
        <v>0</v>
      </c>
      <c r="V84" s="156">
        <f>1/(1+(10^($X84/'[1]Teams'!$F$3)))</f>
        <v>0.9999254465714252</v>
      </c>
      <c r="W84" s="157">
        <f>1/(1+(10^($Y84/'[1]Teams'!$F$3)))</f>
        <v>7.455342857465103E-05</v>
      </c>
      <c r="X84" s="68">
        <f t="shared" si="20"/>
        <v>-1651</v>
      </c>
      <c r="Y84" s="155">
        <f t="shared" si="21"/>
        <v>1651</v>
      </c>
      <c r="Z84" s="68">
        <f>ROUND($R84+(Teams!$H$2*($T84-$V84)),0)</f>
        <v>0</v>
      </c>
      <c r="AA84" s="158">
        <f>ROUND($S84+(Teams!$H$2*($U84-$W84)),0)</f>
        <v>1651</v>
      </c>
    </row>
    <row r="85" spans="2:27" ht="12.75">
      <c r="B85" s="158">
        <v>5</v>
      </c>
      <c r="C85" s="216" t="s">
        <v>76</v>
      </c>
      <c r="D85" s="171">
        <v>17</v>
      </c>
      <c r="E85" s="175">
        <v>10</v>
      </c>
      <c r="F85" s="221" t="s">
        <v>144</v>
      </c>
      <c r="G85" s="151" t="str">
        <f>INDEX(Teams!$B$5:$H$45,MATCH(Results!$C85,Teams!$B$5:$B$45,0),3)</f>
        <v>Bronco Stadium</v>
      </c>
      <c r="H85" s="151" t="str">
        <f>INDEX(Teams!$B$5:$H$45,MATCH(Results!$C85,Teams!$B$5:$B$45,0),5)</f>
        <v>Big Eight</v>
      </c>
      <c r="I85" s="152" t="str">
        <f>INDEX(Teams!$B$5:$H$45,MATCH(Results!$C85,Teams!$B$5:$B$45,0),6)</f>
        <v>SCTT</v>
      </c>
      <c r="J85" s="152" t="str">
        <f>INDEX(Teams!$B$5:$H$45,MATCH(Results!$F85,Teams!$B$5:$B$45,0),6)</f>
        <v>ARLN</v>
      </c>
      <c r="K85" s="69" t="str">
        <f t="shared" si="11"/>
        <v>SCTTARLN</v>
      </c>
      <c r="L85" s="68" t="str">
        <f t="shared" si="12"/>
        <v>SCTT</v>
      </c>
      <c r="M85" s="68">
        <f t="shared" si="13"/>
        <v>1</v>
      </c>
      <c r="N85" s="68">
        <f t="shared" si="14"/>
        <v>7</v>
      </c>
      <c r="O85" s="68" t="str">
        <f t="shared" si="15"/>
        <v>Home</v>
      </c>
      <c r="P85" s="68" t="str">
        <f t="shared" si="16"/>
        <v>SCTT5</v>
      </c>
      <c r="Q85" s="68" t="str">
        <f t="shared" si="17"/>
        <v>ARLN5</v>
      </c>
      <c r="R85" s="68">
        <f>INDEX(RankPoints!$B$4:$AK$19,$B85+1,MATCH(Results!$I85,RankPoints!$B$4:$AK$4,0))</f>
        <v>1516</v>
      </c>
      <c r="S85" s="68" t="e">
        <f>INDEX(RankPoints!$B$4:$AK$19,$B85+1,MATCH(Results!$J85,RankPoints!$B$4:$AK$4,0))</f>
        <v>#N/A</v>
      </c>
      <c r="T85" s="68">
        <f t="shared" si="18"/>
        <v>1</v>
      </c>
      <c r="U85" s="155">
        <f t="shared" si="19"/>
        <v>0</v>
      </c>
      <c r="V85" s="156" t="e">
        <f>1/(1+(10^($X85/'[1]Teams'!$F$3)))</f>
        <v>#N/A</v>
      </c>
      <c r="W85" s="157" t="e">
        <f>1/(1+(10^($Y85/'[1]Teams'!$F$3)))</f>
        <v>#N/A</v>
      </c>
      <c r="X85" s="68" t="e">
        <f t="shared" si="20"/>
        <v>#N/A</v>
      </c>
      <c r="Y85" s="155" t="e">
        <f t="shared" si="21"/>
        <v>#N/A</v>
      </c>
      <c r="Z85" s="68" t="e">
        <f>ROUND($R85+(Teams!$H$2*($T85-$V85)),0)</f>
        <v>#N/A</v>
      </c>
      <c r="AA85" s="158" t="e">
        <f>ROUND($S85+(Teams!$H$2*($U85-$W85)),0)</f>
        <v>#N/A</v>
      </c>
    </row>
    <row r="86" spans="2:27" ht="12.75">
      <c r="B86" s="158">
        <v>5</v>
      </c>
      <c r="C86" s="216" t="s">
        <v>124</v>
      </c>
      <c r="D86" s="171">
        <v>21</v>
      </c>
      <c r="E86" s="175">
        <v>20</v>
      </c>
      <c r="F86" s="221" t="s">
        <v>154</v>
      </c>
      <c r="G86" s="151" t="str">
        <f>INDEX(Teams!$B$5:$H$45,MATCH(Results!$C86,Teams!$B$5:$B$45,0),3)</f>
        <v>Bear Stadium</v>
      </c>
      <c r="H86" s="151" t="str">
        <f>INDEX(Teams!$B$5:$H$45,MATCH(Results!$C86,Teams!$B$5:$B$45,0),5)</f>
        <v>Big Eight</v>
      </c>
      <c r="I86" s="152" t="str">
        <f>INDEX(Teams!$B$5:$H$45,MATCH(Results!$C86,Teams!$B$5:$B$45,0),6)</f>
        <v>TIMC</v>
      </c>
      <c r="J86" s="152" t="str">
        <f>INDEX(Teams!$B$5:$H$45,MATCH(Results!$F86,Teams!$B$5:$B$45,0),6)</f>
        <v>NOBL</v>
      </c>
      <c r="K86" s="69" t="str">
        <f t="shared" si="11"/>
        <v>TIMCNOBL</v>
      </c>
      <c r="L86" s="68" t="str">
        <f t="shared" si="12"/>
        <v>TIMC</v>
      </c>
      <c r="M86" s="68">
        <f t="shared" si="13"/>
        <v>1</v>
      </c>
      <c r="N86" s="68">
        <f t="shared" si="14"/>
        <v>1</v>
      </c>
      <c r="O86" s="68" t="str">
        <f t="shared" si="15"/>
        <v>Home</v>
      </c>
      <c r="P86" s="68" t="str">
        <f t="shared" si="16"/>
        <v>TIMC5</v>
      </c>
      <c r="Q86" s="68" t="str">
        <f t="shared" si="17"/>
        <v>NOBL5</v>
      </c>
      <c r="R86" s="68" t="e">
        <f>INDEX(RankPoints!$B$4:$AK$19,$B86+1,MATCH(Results!$I86,RankPoints!$B$4:$AK$4,0))</f>
        <v>#N/A</v>
      </c>
      <c r="S86" s="68" t="e">
        <f>INDEX(RankPoints!$B$4:$AK$19,$B86+1,MATCH(Results!$J86,RankPoints!$B$4:$AK$4,0))</f>
        <v>#N/A</v>
      </c>
      <c r="T86" s="68">
        <f t="shared" si="18"/>
        <v>1</v>
      </c>
      <c r="U86" s="155">
        <f t="shared" si="19"/>
        <v>0</v>
      </c>
      <c r="V86" s="156" t="e">
        <f>1/(1+(10^($X86/'[1]Teams'!$F$3)))</f>
        <v>#N/A</v>
      </c>
      <c r="W86" s="157" t="e">
        <f>1/(1+(10^($Y86/'[1]Teams'!$F$3)))</f>
        <v>#N/A</v>
      </c>
      <c r="X86" s="68" t="e">
        <f t="shared" si="20"/>
        <v>#N/A</v>
      </c>
      <c r="Y86" s="155" t="e">
        <f t="shared" si="21"/>
        <v>#N/A</v>
      </c>
      <c r="Z86" s="68" t="e">
        <f>ROUND($R86+(Teams!$H$2*($T86-$V86)),0)</f>
        <v>#N/A</v>
      </c>
      <c r="AA86" s="158" t="e">
        <f>ROUND($S86+(Teams!$H$2*($U86-$W86)),0)</f>
        <v>#N/A</v>
      </c>
    </row>
    <row r="87" spans="2:27" ht="12.75">
      <c r="B87" s="158">
        <v>5</v>
      </c>
      <c r="C87" s="216" t="s">
        <v>153</v>
      </c>
      <c r="D87" s="171">
        <v>17</v>
      </c>
      <c r="E87" s="175">
        <v>19</v>
      </c>
      <c r="F87" s="221" t="s">
        <v>248</v>
      </c>
      <c r="G87" s="151" t="str">
        <f>INDEX(Teams!$B$5:$H$45,MATCH(Results!$C87,Teams!$B$5:$B$45,0),3)</f>
        <v>Cheikanwa Stadium</v>
      </c>
      <c r="H87" s="151" t="str">
        <f>INDEX(Teams!$B$5:$H$45,MATCH(Results!$C87,Teams!$B$5:$B$45,0),5)</f>
        <v>Horizon</v>
      </c>
      <c r="I87" s="152" t="str">
        <f>INDEX(Teams!$B$5:$H$45,MATCH(Results!$C87,Teams!$B$5:$B$45,0),6)</f>
        <v>RSTU</v>
      </c>
      <c r="J87" s="152" t="str">
        <f>INDEX(Teams!$B$5:$H$45,MATCH(Results!$F87,Teams!$B$5:$B$45,0),6)</f>
        <v>COLD</v>
      </c>
      <c r="K87" s="69" t="str">
        <f t="shared" si="11"/>
        <v>RSTUCOLD</v>
      </c>
      <c r="L87" s="68" t="str">
        <f t="shared" si="12"/>
        <v>COLD</v>
      </c>
      <c r="M87" s="68">
        <f t="shared" si="13"/>
        <v>1</v>
      </c>
      <c r="N87" s="68">
        <f t="shared" si="14"/>
        <v>2</v>
      </c>
      <c r="O87" s="68" t="str">
        <f t="shared" si="15"/>
        <v>Away</v>
      </c>
      <c r="P87" s="68" t="str">
        <f t="shared" si="16"/>
        <v>RSTU5</v>
      </c>
      <c r="Q87" s="68" t="str">
        <f t="shared" si="17"/>
        <v>COLD5</v>
      </c>
      <c r="R87" s="68" t="e">
        <f>INDEX(RankPoints!$B$4:$AK$19,$B87+1,MATCH(Results!$I87,RankPoints!$B$4:$AK$4,0))</f>
        <v>#N/A</v>
      </c>
      <c r="S87" s="68">
        <f>INDEX(RankPoints!$B$4:$AK$19,$B87+1,MATCH(Results!$J87,RankPoints!$B$4:$AK$4,0))</f>
        <v>1627</v>
      </c>
      <c r="T87" s="68">
        <f t="shared" si="18"/>
        <v>0</v>
      </c>
      <c r="U87" s="155">
        <f t="shared" si="19"/>
        <v>1</v>
      </c>
      <c r="V87" s="156" t="e">
        <f>1/(1+(10^($X87/'[1]Teams'!$F$3)))</f>
        <v>#N/A</v>
      </c>
      <c r="W87" s="157" t="e">
        <f>1/(1+(10^($Y87/'[1]Teams'!$F$3)))</f>
        <v>#N/A</v>
      </c>
      <c r="X87" s="68" t="e">
        <f t="shared" si="20"/>
        <v>#N/A</v>
      </c>
      <c r="Y87" s="155" t="e">
        <f t="shared" si="21"/>
        <v>#N/A</v>
      </c>
      <c r="Z87" s="68" t="e">
        <f>ROUND($R87+(Teams!$H$2*($T87-$V87)),0)</f>
        <v>#N/A</v>
      </c>
      <c r="AA87" s="158" t="e">
        <f>ROUND($S87+(Teams!$H$2*($U87-$W87)),0)</f>
        <v>#N/A</v>
      </c>
    </row>
    <row r="88" spans="2:27" ht="12.75">
      <c r="B88" s="158">
        <v>5</v>
      </c>
      <c r="C88" s="216" t="s">
        <v>21</v>
      </c>
      <c r="D88" s="171">
        <v>10</v>
      </c>
      <c r="E88" s="175">
        <v>36</v>
      </c>
      <c r="F88" s="221" t="s">
        <v>20</v>
      </c>
      <c r="G88" s="151" t="str">
        <f>INDEX(Teams!$B$5:$H$45,MATCH(Results!$C88,Teams!$B$5:$B$45,0),3)</f>
        <v>Finglass Field</v>
      </c>
      <c r="H88" s="151" t="str">
        <f>INDEX(Teams!$B$5:$H$45,MATCH(Results!$C88,Teams!$B$5:$B$45,0),5)</f>
        <v>Horizon</v>
      </c>
      <c r="I88" s="152" t="str">
        <f>INDEX(Teams!$B$5:$H$45,MATCH(Results!$C88,Teams!$B$5:$B$45,0),6)</f>
        <v>STON</v>
      </c>
      <c r="J88" s="152" t="str">
        <f>INDEX(Teams!$B$5:$H$45,MATCH(Results!$F88,Teams!$B$5:$B$45,0),6)</f>
        <v>RCU</v>
      </c>
      <c r="K88" s="69" t="str">
        <f t="shared" si="11"/>
        <v>STONRCU</v>
      </c>
      <c r="L88" s="68" t="str">
        <f t="shared" si="12"/>
        <v>RCU</v>
      </c>
      <c r="M88" s="68">
        <f t="shared" si="13"/>
        <v>1</v>
      </c>
      <c r="N88" s="68">
        <f t="shared" si="14"/>
        <v>26</v>
      </c>
      <c r="O88" s="68" t="str">
        <f t="shared" si="15"/>
        <v>Away</v>
      </c>
      <c r="P88" s="68" t="str">
        <f t="shared" si="16"/>
        <v>STON5</v>
      </c>
      <c r="Q88" s="68" t="str">
        <f t="shared" si="17"/>
        <v>RCU5</v>
      </c>
      <c r="R88" s="68">
        <f>INDEX(RankPoints!$B$4:$AK$19,$B88+1,MATCH(Results!$I88,RankPoints!$B$4:$AK$4,0))</f>
        <v>1380</v>
      </c>
      <c r="S88" s="68">
        <f>INDEX(RankPoints!$B$4:$AK$19,$B88+1,MATCH(Results!$J88,RankPoints!$B$4:$AK$4,0))</f>
        <v>157</v>
      </c>
      <c r="T88" s="68">
        <f t="shared" si="18"/>
        <v>0</v>
      </c>
      <c r="U88" s="155">
        <f t="shared" si="19"/>
        <v>1</v>
      </c>
      <c r="V88" s="156">
        <f>1/(1+(10^($X88/'[1]Teams'!$F$3)))</f>
        <v>0.0008752250277577353</v>
      </c>
      <c r="W88" s="157">
        <f>1/(1+(10^($Y88/'[1]Teams'!$F$3)))</f>
        <v>0.9991247749722423</v>
      </c>
      <c r="X88" s="68">
        <f t="shared" si="20"/>
        <v>1223</v>
      </c>
      <c r="Y88" s="155">
        <f t="shared" si="21"/>
        <v>-1223</v>
      </c>
      <c r="Z88" s="68">
        <f>ROUND($R88+(Teams!$H$2*($T88-$V88)),0)</f>
        <v>1380</v>
      </c>
      <c r="AA88" s="158">
        <f>ROUND($S88+(Teams!$H$2*($U88-$W88)),0)</f>
        <v>157</v>
      </c>
    </row>
    <row r="89" spans="2:27" ht="12.75">
      <c r="B89" s="158">
        <v>5</v>
      </c>
      <c r="C89" s="216" t="s">
        <v>151</v>
      </c>
      <c r="D89" s="171">
        <v>3</v>
      </c>
      <c r="E89" s="175">
        <v>12</v>
      </c>
      <c r="F89" s="221" t="s">
        <v>145</v>
      </c>
      <c r="G89" s="151" t="str">
        <f>INDEX(Teams!$B$5:$H$45,MATCH(Results!$C89,Teams!$B$5:$B$45,0),3)</f>
        <v>Olympic Stadiums</v>
      </c>
      <c r="H89" s="151" t="str">
        <f>INDEX(Teams!$B$5:$H$45,MATCH(Results!$C89,Teams!$B$5:$B$45,0),5)</f>
        <v>Horizon</v>
      </c>
      <c r="I89" s="152" t="str">
        <f>INDEX(Teams!$B$5:$H$45,MATCH(Results!$C89,Teams!$B$5:$B$45,0),6)</f>
        <v>OLYM</v>
      </c>
      <c r="J89" s="152" t="str">
        <f>INDEX(Teams!$B$5:$H$45,MATCH(Results!$F89,Teams!$B$5:$B$45,0),6)</f>
        <v>INDN</v>
      </c>
      <c r="K89" s="69" t="str">
        <f t="shared" si="11"/>
        <v>OLYMINDN</v>
      </c>
      <c r="L89" s="68" t="str">
        <f t="shared" si="12"/>
        <v>INDN</v>
      </c>
      <c r="M89" s="68">
        <f t="shared" si="13"/>
        <v>1</v>
      </c>
      <c r="N89" s="68">
        <f t="shared" si="14"/>
        <v>9</v>
      </c>
      <c r="O89" s="68" t="str">
        <f t="shared" si="15"/>
        <v>Away</v>
      </c>
      <c r="P89" s="68" t="str">
        <f t="shared" si="16"/>
        <v>OLYM5</v>
      </c>
      <c r="Q89" s="68" t="str">
        <f t="shared" si="17"/>
        <v>INDN5</v>
      </c>
      <c r="R89" s="68" t="e">
        <f>INDEX(RankPoints!$B$4:$AK$19,$B89+1,MATCH(Results!$I89,RankPoints!$B$4:$AK$4,0))</f>
        <v>#N/A</v>
      </c>
      <c r="S89" s="68" t="e">
        <f>INDEX(RankPoints!$B$4:$AK$19,$B89+1,MATCH(Results!$J89,RankPoints!$B$4:$AK$4,0))</f>
        <v>#N/A</v>
      </c>
      <c r="T89" s="68">
        <f t="shared" si="18"/>
        <v>0</v>
      </c>
      <c r="U89" s="155">
        <f t="shared" si="19"/>
        <v>1</v>
      </c>
      <c r="V89" s="156" t="e">
        <f>1/(1+(10^($X89/'[1]Teams'!$F$3)))</f>
        <v>#N/A</v>
      </c>
      <c r="W89" s="157" t="e">
        <f>1/(1+(10^($Y89/'[1]Teams'!$F$3)))</f>
        <v>#N/A</v>
      </c>
      <c r="X89" s="68" t="e">
        <f t="shared" si="20"/>
        <v>#N/A</v>
      </c>
      <c r="Y89" s="155" t="e">
        <f t="shared" si="21"/>
        <v>#N/A</v>
      </c>
      <c r="Z89" s="68" t="e">
        <f>ROUND($R89+(Teams!$H$2*($T89-$V89)),0)</f>
        <v>#N/A</v>
      </c>
      <c r="AA89" s="158" t="e">
        <f>ROUND($S89+(Teams!$H$2*($U89-$W89)),0)</f>
        <v>#N/A</v>
      </c>
    </row>
    <row r="90" spans="2:27" ht="12.75">
      <c r="B90" s="158">
        <v>5</v>
      </c>
      <c r="C90" s="216" t="s">
        <v>149</v>
      </c>
      <c r="D90" s="171">
        <v>21</v>
      </c>
      <c r="E90" s="175">
        <v>13</v>
      </c>
      <c r="F90" s="221" t="s">
        <v>157</v>
      </c>
      <c r="G90" s="151" t="str">
        <f>INDEX(Teams!$B$5:$H$45,MATCH(Results!$C90,Teams!$B$5:$B$45,0),3)</f>
        <v>The Field of Industry</v>
      </c>
      <c r="H90" s="151" t="str">
        <f>INDEX(Teams!$B$5:$H$45,MATCH(Results!$C90,Teams!$B$5:$B$45,0),5)</f>
        <v>Horizon</v>
      </c>
      <c r="I90" s="152" t="str">
        <f>INDEX(Teams!$B$5:$H$45,MATCH(Results!$C90,Teams!$B$5:$B$45,0),6)</f>
        <v>USPN</v>
      </c>
      <c r="J90" s="152" t="str">
        <f>INDEX(Teams!$B$5:$H$45,MATCH(Results!$F90,Teams!$B$5:$B$45,0),6)</f>
        <v>WIEN</v>
      </c>
      <c r="K90" s="69" t="str">
        <f t="shared" si="11"/>
        <v>USPNWIEN</v>
      </c>
      <c r="L90" s="68" t="str">
        <f t="shared" si="12"/>
        <v>USPN</v>
      </c>
      <c r="M90" s="68">
        <f t="shared" si="13"/>
        <v>1</v>
      </c>
      <c r="N90" s="68">
        <f t="shared" si="14"/>
        <v>8</v>
      </c>
      <c r="O90" s="68" t="str">
        <f t="shared" si="15"/>
        <v>Home</v>
      </c>
      <c r="P90" s="68" t="str">
        <f t="shared" si="16"/>
        <v>USPN5</v>
      </c>
      <c r="Q90" s="68" t="str">
        <f t="shared" si="17"/>
        <v>WIEN5</v>
      </c>
      <c r="R90" s="68" t="e">
        <f>INDEX(RankPoints!$B$4:$AK$19,$B90+1,MATCH(Results!$I90,RankPoints!$B$4:$AK$4,0))</f>
        <v>#N/A</v>
      </c>
      <c r="S90" s="68" t="e">
        <f>INDEX(RankPoints!$B$4:$AK$19,$B90+1,MATCH(Results!$J90,RankPoints!$B$4:$AK$4,0))</f>
        <v>#N/A</v>
      </c>
      <c r="T90" s="68">
        <f t="shared" si="18"/>
        <v>1</v>
      </c>
      <c r="U90" s="155">
        <f t="shared" si="19"/>
        <v>0</v>
      </c>
      <c r="V90" s="156" t="e">
        <f>1/(1+(10^($X90/'[1]Teams'!$F$3)))</f>
        <v>#N/A</v>
      </c>
      <c r="W90" s="157" t="e">
        <f>1/(1+(10^($Y90/'[1]Teams'!$F$3)))</f>
        <v>#N/A</v>
      </c>
      <c r="X90" s="68" t="e">
        <f t="shared" si="20"/>
        <v>#N/A</v>
      </c>
      <c r="Y90" s="155" t="e">
        <f t="shared" si="21"/>
        <v>#N/A</v>
      </c>
      <c r="Z90" s="68" t="e">
        <f>ROUND($R90+(Teams!$H$2*($T90-$V90)),0)</f>
        <v>#N/A</v>
      </c>
      <c r="AA90" s="158" t="e">
        <f>ROUND($S90+(Teams!$H$2*($U90-$W90)),0)</f>
        <v>#N/A</v>
      </c>
    </row>
    <row r="91" spans="2:27" ht="12.75">
      <c r="B91" s="158">
        <v>5</v>
      </c>
      <c r="C91" s="216" t="s">
        <v>150</v>
      </c>
      <c r="D91" s="171">
        <v>7</v>
      </c>
      <c r="E91" s="175">
        <v>13</v>
      </c>
      <c r="F91" s="221" t="s">
        <v>121</v>
      </c>
      <c r="G91" s="151" t="str">
        <f>INDEX(Teams!$B$5:$H$45,MATCH(Results!$C91,Teams!$B$5:$B$45,0),3)</f>
        <v>Roger Jalston Memorial Stadium</v>
      </c>
      <c r="H91" s="151" t="str">
        <f>INDEX(Teams!$B$5:$H$45,MATCH(Results!$C91,Teams!$B$5:$B$45,0),5)</f>
        <v>Mineral</v>
      </c>
      <c r="I91" s="152" t="str">
        <f>INDEX(Teams!$B$5:$H$45,MATCH(Results!$C91,Teams!$B$5:$B$45,0),6)</f>
        <v>RICH</v>
      </c>
      <c r="J91" s="152" t="str">
        <f>INDEX(Teams!$B$5:$H$45,MATCH(Results!$F91,Teams!$B$5:$B$45,0),6)</f>
        <v>CRGA</v>
      </c>
      <c r="K91" s="69" t="str">
        <f t="shared" si="11"/>
        <v>RICHCRGA</v>
      </c>
      <c r="L91" s="68" t="str">
        <f t="shared" si="12"/>
        <v>CRGA</v>
      </c>
      <c r="M91" s="68">
        <f t="shared" si="13"/>
        <v>1</v>
      </c>
      <c r="N91" s="68">
        <f t="shared" si="14"/>
        <v>6</v>
      </c>
      <c r="O91" s="68" t="str">
        <f t="shared" si="15"/>
        <v>Away</v>
      </c>
      <c r="P91" s="68" t="str">
        <f t="shared" si="16"/>
        <v>RICH5</v>
      </c>
      <c r="Q91" s="68" t="str">
        <f t="shared" si="17"/>
        <v>CRGA5</v>
      </c>
      <c r="R91" s="68" t="e">
        <f>INDEX(RankPoints!$B$4:$AK$19,$B91+1,MATCH(Results!$I91,RankPoints!$B$4:$AK$4,0))</f>
        <v>#N/A</v>
      </c>
      <c r="S91" s="68" t="e">
        <f>INDEX(RankPoints!$B$4:$AK$19,$B91+1,MATCH(Results!$J91,RankPoints!$B$4:$AK$4,0))</f>
        <v>#N/A</v>
      </c>
      <c r="T91" s="68">
        <f t="shared" si="18"/>
        <v>0</v>
      </c>
      <c r="U91" s="155">
        <f t="shared" si="19"/>
        <v>1</v>
      </c>
      <c r="V91" s="156" t="e">
        <f>1/(1+(10^($X91/'[1]Teams'!$F$3)))</f>
        <v>#N/A</v>
      </c>
      <c r="W91" s="157" t="e">
        <f>1/(1+(10^($Y91/'[1]Teams'!$F$3)))</f>
        <v>#N/A</v>
      </c>
      <c r="X91" s="68" t="e">
        <f t="shared" si="20"/>
        <v>#N/A</v>
      </c>
      <c r="Y91" s="155" t="e">
        <f t="shared" si="21"/>
        <v>#N/A</v>
      </c>
      <c r="Z91" s="68" t="e">
        <f>ROUND($R91+(Teams!$H$2*($T91-$V91)),0)</f>
        <v>#N/A</v>
      </c>
      <c r="AA91" s="158" t="e">
        <f>ROUND($S91+(Teams!$H$2*($U91-$W91)),0)</f>
        <v>#N/A</v>
      </c>
    </row>
    <row r="92" spans="2:27" ht="12.75">
      <c r="B92" s="158">
        <v>5</v>
      </c>
      <c r="C92" s="216" t="s">
        <v>266</v>
      </c>
      <c r="D92" s="171">
        <v>30</v>
      </c>
      <c r="E92" s="175">
        <v>3</v>
      </c>
      <c r="F92" s="221" t="s">
        <v>155</v>
      </c>
      <c r="G92" s="151" t="str">
        <f>INDEX(Teams!$B$5:$H$45,MATCH(Results!$C92,Teams!$B$5:$B$45,0),3)</f>
        <v>ATD Park</v>
      </c>
      <c r="H92" s="151" t="str">
        <f>INDEX(Teams!$B$5:$H$45,MATCH(Results!$C92,Teams!$B$5:$B$45,0),5)</f>
        <v>Mineral</v>
      </c>
      <c r="I92" s="152" t="str">
        <f>INDEX(Teams!$B$5:$H$45,MATCH(Results!$C92,Teams!$B$5:$B$45,0),6)</f>
        <v>UPSL</v>
      </c>
      <c r="J92" s="152" t="str">
        <f>INDEX(Teams!$B$5:$H$45,MATCH(Results!$F92,Teams!$B$5:$B$45,0),6)</f>
        <v>EKIL</v>
      </c>
      <c r="K92" s="69" t="str">
        <f t="shared" si="11"/>
        <v>UPSLEKIL</v>
      </c>
      <c r="L92" s="68" t="str">
        <f t="shared" si="12"/>
        <v>UPSL</v>
      </c>
      <c r="M92" s="68">
        <f t="shared" si="13"/>
        <v>1</v>
      </c>
      <c r="N92" s="68">
        <f t="shared" si="14"/>
        <v>27</v>
      </c>
      <c r="O92" s="68" t="str">
        <f t="shared" si="15"/>
        <v>Home</v>
      </c>
      <c r="P92" s="68" t="str">
        <f t="shared" si="16"/>
        <v>UPSL5</v>
      </c>
      <c r="Q92" s="68" t="str">
        <f t="shared" si="17"/>
        <v>EKIL5</v>
      </c>
      <c r="R92" s="68">
        <f>INDEX(RankPoints!$B$4:$AK$19,$B92+1,MATCH(Results!$I92,RankPoints!$B$4:$AK$4,0))</f>
        <v>0</v>
      </c>
      <c r="S92" s="68" t="e">
        <f>INDEX(RankPoints!$B$4:$AK$19,$B92+1,MATCH(Results!$J92,RankPoints!$B$4:$AK$4,0))</f>
        <v>#N/A</v>
      </c>
      <c r="T92" s="68">
        <f t="shared" si="18"/>
        <v>1</v>
      </c>
      <c r="U92" s="155">
        <f t="shared" si="19"/>
        <v>0</v>
      </c>
      <c r="V92" s="156" t="e">
        <f>1/(1+(10^($X92/'[1]Teams'!$F$3)))</f>
        <v>#N/A</v>
      </c>
      <c r="W92" s="157" t="e">
        <f>1/(1+(10^($Y92/'[1]Teams'!$F$3)))</f>
        <v>#N/A</v>
      </c>
      <c r="X92" s="68" t="e">
        <f t="shared" si="20"/>
        <v>#N/A</v>
      </c>
      <c r="Y92" s="155" t="e">
        <f t="shared" si="21"/>
        <v>#N/A</v>
      </c>
      <c r="Z92" s="68" t="e">
        <f>ROUND($R92+(Teams!$H$2*($T92-$V92)),0)</f>
        <v>#N/A</v>
      </c>
      <c r="AA92" s="158" t="e">
        <f>ROUND($S92+(Teams!$H$2*($U92-$W92)),0)</f>
        <v>#N/A</v>
      </c>
    </row>
    <row r="93" spans="2:27" ht="12.75">
      <c r="B93" s="158">
        <v>5</v>
      </c>
      <c r="C93" s="216" t="s">
        <v>251</v>
      </c>
      <c r="D93" s="171">
        <v>18</v>
      </c>
      <c r="E93" s="175">
        <v>10</v>
      </c>
      <c r="F93" s="221" t="s">
        <v>156</v>
      </c>
      <c r="G93" s="151" t="str">
        <f>INDEX(Teams!$B$5:$H$45,MATCH(Results!$C93,Teams!$B$5:$B$45,0),3)</f>
        <v>The Nest of Fire</v>
      </c>
      <c r="H93" s="151" t="str">
        <f>INDEX(Teams!$B$5:$H$45,MATCH(Results!$C93,Teams!$B$5:$B$45,0),5)</f>
        <v>Mineral</v>
      </c>
      <c r="I93" s="152" t="str">
        <f>INDEX(Teams!$B$5:$H$45,MATCH(Results!$C93,Teams!$B$5:$B$45,0),6)</f>
        <v>HRLP</v>
      </c>
      <c r="J93" s="152" t="str">
        <f>INDEX(Teams!$B$5:$H$45,MATCH(Results!$F93,Teams!$B$5:$B$45,0),6)</f>
        <v>BLUE</v>
      </c>
      <c r="K93" s="69" t="str">
        <f t="shared" si="11"/>
        <v>HRLPBLUE</v>
      </c>
      <c r="L93" s="68" t="str">
        <f t="shared" si="12"/>
        <v>HRLP</v>
      </c>
      <c r="M93" s="68">
        <f t="shared" si="13"/>
        <v>1</v>
      </c>
      <c r="N93" s="68">
        <f t="shared" si="14"/>
        <v>8</v>
      </c>
      <c r="O93" s="68" t="str">
        <f t="shared" si="15"/>
        <v>Home</v>
      </c>
      <c r="P93" s="68" t="str">
        <f t="shared" si="16"/>
        <v>HRLP5</v>
      </c>
      <c r="Q93" s="68" t="str">
        <f t="shared" si="17"/>
        <v>BLUE5</v>
      </c>
      <c r="R93" s="68" t="e">
        <f>INDEX(RankPoints!$B$4:$AK$19,$B93+1,MATCH(Results!$I93,RankPoints!$B$4:$AK$4,0))</f>
        <v>#N/A</v>
      </c>
      <c r="S93" s="68" t="e">
        <f>INDEX(RankPoints!$B$4:$AK$19,$B93+1,MATCH(Results!$J93,RankPoints!$B$4:$AK$4,0))</f>
        <v>#N/A</v>
      </c>
      <c r="T93" s="68">
        <f t="shared" si="18"/>
        <v>1</v>
      </c>
      <c r="U93" s="155">
        <f t="shared" si="19"/>
        <v>0</v>
      </c>
      <c r="V93" s="156" t="e">
        <f>1/(1+(10^($X93/'[1]Teams'!$F$3)))</f>
        <v>#N/A</v>
      </c>
      <c r="W93" s="157" t="e">
        <f>1/(1+(10^($Y93/'[1]Teams'!$F$3)))</f>
        <v>#N/A</v>
      </c>
      <c r="X93" s="68" t="e">
        <f t="shared" si="20"/>
        <v>#N/A</v>
      </c>
      <c r="Y93" s="155" t="e">
        <f t="shared" si="21"/>
        <v>#N/A</v>
      </c>
      <c r="Z93" s="68" t="e">
        <f>ROUND($R93+(Teams!$H$2*($T93-$V93)),0)</f>
        <v>#N/A</v>
      </c>
      <c r="AA93" s="158" t="e">
        <f>ROUND($S93+(Teams!$H$2*($U93-$W93)),0)</f>
        <v>#N/A</v>
      </c>
    </row>
    <row r="94" spans="2:27" ht="12.75">
      <c r="B94" s="158">
        <v>5</v>
      </c>
      <c r="C94" s="216" t="s">
        <v>146</v>
      </c>
      <c r="D94" s="171">
        <v>10</v>
      </c>
      <c r="E94" s="175">
        <v>38</v>
      </c>
      <c r="F94" s="221" t="s">
        <v>80</v>
      </c>
      <c r="G94" s="151" t="str">
        <f>INDEX(Teams!$B$5:$H$45,MATCH(Results!$C94,Teams!$B$5:$B$45,0),3)</f>
        <v>Bryan-Hall Stadium</v>
      </c>
      <c r="H94" s="151" t="str">
        <f>INDEX(Teams!$B$5:$H$45,MATCH(Results!$C94,Teams!$B$5:$B$45,0),5)</f>
        <v>Mineral</v>
      </c>
      <c r="I94" s="152" t="str">
        <f>INDEX(Teams!$B$5:$H$45,MATCH(Results!$C94,Teams!$B$5:$B$45,0),6)</f>
        <v>WSIT</v>
      </c>
      <c r="J94" s="152" t="str">
        <f>INDEX(Teams!$B$5:$H$45,MATCH(Results!$F94,Teams!$B$5:$B$45,0),6)</f>
        <v>OCSU</v>
      </c>
      <c r="K94" s="69" t="str">
        <f t="shared" si="11"/>
        <v>WSITOCSU</v>
      </c>
      <c r="L94" s="68" t="str">
        <f t="shared" si="12"/>
        <v>OCSU</v>
      </c>
      <c r="M94" s="68">
        <f t="shared" si="13"/>
        <v>1</v>
      </c>
      <c r="N94" s="68">
        <f t="shared" si="14"/>
        <v>28</v>
      </c>
      <c r="O94" s="68" t="str">
        <f t="shared" si="15"/>
        <v>Away</v>
      </c>
      <c r="P94" s="68" t="str">
        <f t="shared" si="16"/>
        <v>WSIT5</v>
      </c>
      <c r="Q94" s="68" t="str">
        <f t="shared" si="17"/>
        <v>OCSU5</v>
      </c>
      <c r="R94" s="68" t="e">
        <f>INDEX(RankPoints!$B$4:$AK$19,$B94+1,MATCH(Results!$I94,RankPoints!$B$4:$AK$4,0))</f>
        <v>#N/A</v>
      </c>
      <c r="S94" s="68">
        <f>INDEX(RankPoints!$B$4:$AK$19,$B94+1,MATCH(Results!$J94,RankPoints!$B$4:$AK$4,0))</f>
        <v>1516</v>
      </c>
      <c r="T94" s="68">
        <f t="shared" si="18"/>
        <v>0</v>
      </c>
      <c r="U94" s="155">
        <f t="shared" si="19"/>
        <v>1</v>
      </c>
      <c r="V94" s="156" t="e">
        <f>1/(1+(10^($X94/'[1]Teams'!$F$3)))</f>
        <v>#N/A</v>
      </c>
      <c r="W94" s="157" t="e">
        <f>1/(1+(10^($Y94/'[1]Teams'!$F$3)))</f>
        <v>#N/A</v>
      </c>
      <c r="X94" s="68" t="e">
        <f t="shared" si="20"/>
        <v>#N/A</v>
      </c>
      <c r="Y94" s="155" t="e">
        <f t="shared" si="21"/>
        <v>#N/A</v>
      </c>
      <c r="Z94" s="68" t="e">
        <f>ROUND($R94+(Teams!$H$2*($T94-$V94)),0)</f>
        <v>#N/A</v>
      </c>
      <c r="AA94" s="158" t="e">
        <f>ROUND($S94+(Teams!$H$2*($U94-$W94)),0)</f>
        <v>#N/A</v>
      </c>
    </row>
    <row r="95" spans="2:27" ht="12.75">
      <c r="B95" s="158">
        <v>5</v>
      </c>
      <c r="C95" s="216" t="s">
        <v>19</v>
      </c>
      <c r="D95" s="171">
        <v>0</v>
      </c>
      <c r="E95" s="175">
        <v>7</v>
      </c>
      <c r="F95" s="221" t="s">
        <v>269</v>
      </c>
      <c r="G95" s="151" t="str">
        <f>INDEX(Teams!$B$5:$H$45,MATCH(Results!$C95,Teams!$B$5:$B$45,0),3)</f>
        <v>Tiegemburg Park</v>
      </c>
      <c r="H95" s="151" t="str">
        <f>INDEX(Teams!$B$5:$H$45,MATCH(Results!$C95,Teams!$B$5:$B$45,0),5)</f>
        <v>Sequoia</v>
      </c>
      <c r="I95" s="152" t="str">
        <f>INDEX(Teams!$B$5:$H$45,MATCH(Results!$C95,Teams!$B$5:$B$45,0),6)</f>
        <v>ALZD</v>
      </c>
      <c r="J95" s="152" t="str">
        <f>INDEX(Teams!$B$5:$H$45,MATCH(Results!$F95,Teams!$B$5:$B$45,0),6)</f>
        <v>STJN</v>
      </c>
      <c r="K95" s="69" t="str">
        <f t="shared" si="11"/>
        <v>ALZDSTJN</v>
      </c>
      <c r="L95" s="68" t="str">
        <f t="shared" si="12"/>
        <v>STJN</v>
      </c>
      <c r="M95" s="68">
        <f t="shared" si="13"/>
        <v>1</v>
      </c>
      <c r="N95" s="68">
        <f t="shared" si="14"/>
        <v>7</v>
      </c>
      <c r="O95" s="68" t="str">
        <f t="shared" si="15"/>
        <v>Away</v>
      </c>
      <c r="P95" s="68" t="str">
        <f t="shared" si="16"/>
        <v>ALZD5</v>
      </c>
      <c r="Q95" s="68" t="str">
        <f t="shared" si="17"/>
        <v>STJN5</v>
      </c>
      <c r="R95" s="68">
        <f>INDEX(RankPoints!$B$4:$AK$19,$B95+1,MATCH(Results!$I95,RankPoints!$B$4:$AK$4,0))</f>
        <v>1500</v>
      </c>
      <c r="S95" s="68">
        <f>INDEX(RankPoints!$B$4:$AK$19,$B95+1,MATCH(Results!$J95,RankPoints!$B$4:$AK$4,0))</f>
        <v>-1578</v>
      </c>
      <c r="T95" s="68">
        <f t="shared" si="18"/>
        <v>0</v>
      </c>
      <c r="U95" s="155">
        <f t="shared" si="19"/>
        <v>1</v>
      </c>
      <c r="V95" s="156">
        <f>1/(1+(10^($X95/'[1]Teams'!$F$3)))</f>
        <v>2.0183663229435317E-08</v>
      </c>
      <c r="W95" s="157">
        <f>1/(1+(10^($Y95/'[1]Teams'!$F$3)))</f>
        <v>0.9999999798163368</v>
      </c>
      <c r="X95" s="68">
        <f t="shared" si="20"/>
        <v>3078</v>
      </c>
      <c r="Y95" s="155">
        <f t="shared" si="21"/>
        <v>-3078</v>
      </c>
      <c r="Z95" s="68">
        <f>ROUND($R95+(Teams!$H$2*($T95-$V95)),0)</f>
        <v>1500</v>
      </c>
      <c r="AA95" s="158">
        <f>ROUND($S95+(Teams!$H$2*($U95-$W95)),0)</f>
        <v>-1578</v>
      </c>
    </row>
    <row r="96" spans="2:27" ht="12.75">
      <c r="B96" s="158">
        <v>5</v>
      </c>
      <c r="C96" s="216" t="s">
        <v>112</v>
      </c>
      <c r="D96" s="171">
        <v>47</v>
      </c>
      <c r="E96" s="175">
        <v>38</v>
      </c>
      <c r="F96" s="221" t="s">
        <v>117</v>
      </c>
      <c r="G96" s="151" t="str">
        <f>INDEX(Teams!$B$5:$H$45,MATCH(Results!$C96,Teams!$B$5:$B$45,0),3)</f>
        <v>George Litchko Stadium</v>
      </c>
      <c r="H96" s="151" t="str">
        <f>INDEX(Teams!$B$5:$H$45,MATCH(Results!$C96,Teams!$B$5:$B$45,0),5)</f>
        <v>Sequoia</v>
      </c>
      <c r="I96" s="152" t="str">
        <f>INDEX(Teams!$B$5:$H$45,MATCH(Results!$C96,Teams!$B$5:$B$45,0),6)</f>
        <v>FHST</v>
      </c>
      <c r="J96" s="152" t="str">
        <f>INDEX(Teams!$B$5:$H$45,MATCH(Results!$F96,Teams!$B$5:$B$45,0),6)</f>
        <v>ALUT</v>
      </c>
      <c r="K96" s="69" t="str">
        <f t="shared" si="11"/>
        <v>FHSTALUT</v>
      </c>
      <c r="L96" s="68" t="str">
        <f t="shared" si="12"/>
        <v>FHST</v>
      </c>
      <c r="M96" s="68">
        <f t="shared" si="13"/>
        <v>1</v>
      </c>
      <c r="N96" s="68">
        <f t="shared" si="14"/>
        <v>9</v>
      </c>
      <c r="O96" s="68" t="str">
        <f t="shared" si="15"/>
        <v>Home</v>
      </c>
      <c r="P96" s="68" t="str">
        <f t="shared" si="16"/>
        <v>FHST5</v>
      </c>
      <c r="Q96" s="68" t="str">
        <f t="shared" si="17"/>
        <v>ALUT5</v>
      </c>
      <c r="R96" s="68">
        <f>INDEX(RankPoints!$B$4:$AK$19,$B96+1,MATCH(Results!$I96,RankPoints!$B$4:$AK$4,0))</f>
        <v>-3091</v>
      </c>
      <c r="S96" s="68" t="e">
        <f>INDEX(RankPoints!$B$4:$AK$19,$B96+1,MATCH(Results!$J96,RankPoints!$B$4:$AK$4,0))</f>
        <v>#N/A</v>
      </c>
      <c r="T96" s="68">
        <f t="shared" si="18"/>
        <v>1</v>
      </c>
      <c r="U96" s="155">
        <f t="shared" si="19"/>
        <v>0</v>
      </c>
      <c r="V96" s="156" t="e">
        <f>1/(1+(10^($X96/'[1]Teams'!$F$3)))</f>
        <v>#N/A</v>
      </c>
      <c r="W96" s="157" t="e">
        <f>1/(1+(10^($Y96/'[1]Teams'!$F$3)))</f>
        <v>#N/A</v>
      </c>
      <c r="X96" s="68" t="e">
        <f t="shared" si="20"/>
        <v>#N/A</v>
      </c>
      <c r="Y96" s="155" t="e">
        <f t="shared" si="21"/>
        <v>#N/A</v>
      </c>
      <c r="Z96" s="68" t="e">
        <f>ROUND($R96+(Teams!$H$2*($T96-$V96)),0)</f>
        <v>#N/A</v>
      </c>
      <c r="AA96" s="158" t="e">
        <f>ROUND($S96+(Teams!$H$2*($U96-$W96)),0)</f>
        <v>#N/A</v>
      </c>
    </row>
    <row r="97" spans="2:27" ht="12.75">
      <c r="B97" s="158">
        <v>5</v>
      </c>
      <c r="C97" s="216" t="s">
        <v>119</v>
      </c>
      <c r="D97" s="171">
        <v>27</v>
      </c>
      <c r="E97" s="175">
        <v>24</v>
      </c>
      <c r="F97" s="221" t="s">
        <v>265</v>
      </c>
      <c r="G97" s="151" t="str">
        <f>INDEX(Teams!$B$5:$H$45,MATCH(Results!$C97,Teams!$B$5:$B$45,0),3)</f>
        <v>Parah Dome</v>
      </c>
      <c r="H97" s="151" t="str">
        <f>INDEX(Teams!$B$5:$H$45,MATCH(Results!$C97,Teams!$B$5:$B$45,0),5)</f>
        <v>Sequoia</v>
      </c>
      <c r="I97" s="152" t="str">
        <f>INDEX(Teams!$B$5:$H$45,MATCH(Results!$C97,Teams!$B$5:$B$45,0),6)</f>
        <v>NETT</v>
      </c>
      <c r="J97" s="152" t="str">
        <f>INDEX(Teams!$B$5:$H$45,MATCH(Results!$F97,Teams!$B$5:$B$45,0),6)</f>
        <v>ACSP</v>
      </c>
      <c r="K97" s="69" t="str">
        <f t="shared" si="11"/>
        <v>NETTACSP</v>
      </c>
      <c r="L97" s="68" t="str">
        <f t="shared" si="12"/>
        <v>NETT</v>
      </c>
      <c r="M97" s="68">
        <f t="shared" si="13"/>
        <v>1</v>
      </c>
      <c r="N97" s="68">
        <f t="shared" si="14"/>
        <v>3</v>
      </c>
      <c r="O97" s="68" t="str">
        <f t="shared" si="15"/>
        <v>Home</v>
      </c>
      <c r="P97" s="68" t="str">
        <f t="shared" si="16"/>
        <v>NETT5</v>
      </c>
      <c r="Q97" s="68" t="str">
        <f t="shared" si="17"/>
        <v>ACSP5</v>
      </c>
      <c r="R97" s="68" t="e">
        <f>INDEX(RankPoints!$B$4:$AK$19,$B97+1,MATCH(Results!$I97,RankPoints!$B$4:$AK$4,0))</f>
        <v>#N/A</v>
      </c>
      <c r="S97" s="68" t="e">
        <f>INDEX(RankPoints!$B$4:$AK$19,$B97+1,MATCH(Results!$J97,RankPoints!$B$4:$AK$4,0))</f>
        <v>#N/A</v>
      </c>
      <c r="T97" s="68">
        <f t="shared" si="18"/>
        <v>1</v>
      </c>
      <c r="U97" s="155">
        <f t="shared" si="19"/>
        <v>0</v>
      </c>
      <c r="V97" s="156" t="e">
        <f>1/(1+(10^($X97/'[1]Teams'!$F$3)))</f>
        <v>#N/A</v>
      </c>
      <c r="W97" s="157" t="e">
        <f>1/(1+(10^($Y97/'[1]Teams'!$F$3)))</f>
        <v>#N/A</v>
      </c>
      <c r="X97" s="68" t="e">
        <f t="shared" si="20"/>
        <v>#N/A</v>
      </c>
      <c r="Y97" s="155" t="e">
        <f t="shared" si="21"/>
        <v>#N/A</v>
      </c>
      <c r="Z97" s="68" t="e">
        <f>ROUND($R97+(Teams!$H$2*($T97-$V97)),0)</f>
        <v>#N/A</v>
      </c>
      <c r="AA97" s="158" t="e">
        <f>ROUND($S97+(Teams!$H$2*($U97-$W97)),0)</f>
        <v>#N/A</v>
      </c>
    </row>
    <row r="98" spans="2:27" ht="12.75">
      <c r="B98" s="158">
        <v>5</v>
      </c>
      <c r="C98" s="216" t="s">
        <v>111</v>
      </c>
      <c r="D98" s="171">
        <v>0</v>
      </c>
      <c r="E98" s="175">
        <v>20</v>
      </c>
      <c r="F98" s="221" t="s">
        <v>79</v>
      </c>
      <c r="G98" s="151" t="str">
        <f>INDEX(Teams!$B$5:$H$45,MATCH(Results!$C98,Teams!$B$5:$B$45,0),3)</f>
        <v>Welcome City Stadium</v>
      </c>
      <c r="H98" s="151" t="str">
        <f>INDEX(Teams!$B$5:$H$45,MATCH(Results!$C98,Teams!$B$5:$B$45,0),5)</f>
        <v>Sequoia</v>
      </c>
      <c r="I98" s="152" t="str">
        <f>INDEX(Teams!$B$5:$H$45,MATCH(Results!$C98,Teams!$B$5:$B$45,0),6)</f>
        <v>NRDN</v>
      </c>
      <c r="J98" s="152" t="str">
        <f>INDEX(Teams!$B$5:$H$45,MATCH(Results!$F98,Teams!$B$5:$B$45,0),6)</f>
        <v>RVMD</v>
      </c>
      <c r="K98" s="69" t="str">
        <f t="shared" si="11"/>
        <v>NRDNRVMD</v>
      </c>
      <c r="L98" s="68" t="str">
        <f t="shared" si="12"/>
        <v>RVMD</v>
      </c>
      <c r="M98" s="68">
        <f t="shared" si="13"/>
        <v>1</v>
      </c>
      <c r="N98" s="68">
        <f t="shared" si="14"/>
        <v>20</v>
      </c>
      <c r="O98" s="68" t="str">
        <f t="shared" si="15"/>
        <v>Away</v>
      </c>
      <c r="P98" s="68" t="str">
        <f t="shared" si="16"/>
        <v>NRDN5</v>
      </c>
      <c r="Q98" s="68" t="str">
        <f t="shared" si="17"/>
        <v>RVMD5</v>
      </c>
      <c r="R98" s="68">
        <f>INDEX(RankPoints!$B$4:$AK$19,$B98+1,MATCH(Results!$I98,RankPoints!$B$4:$AK$4,0))</f>
        <v>1631</v>
      </c>
      <c r="S98" s="68">
        <f>INDEX(RankPoints!$B$4:$AK$19,$B98+1,MATCH(Results!$J98,RankPoints!$B$4:$AK$4,0))</f>
        <v>1546</v>
      </c>
      <c r="T98" s="68">
        <f t="shared" si="18"/>
        <v>0</v>
      </c>
      <c r="U98" s="155">
        <f t="shared" si="19"/>
        <v>1</v>
      </c>
      <c r="V98" s="156">
        <f>1/(1+(10^($X98/'[1]Teams'!$F$3)))</f>
        <v>0.3800586409554767</v>
      </c>
      <c r="W98" s="157">
        <f>1/(1+(10^($Y98/'[1]Teams'!$F$3)))</f>
        <v>0.6199413590445234</v>
      </c>
      <c r="X98" s="68">
        <f t="shared" si="20"/>
        <v>85</v>
      </c>
      <c r="Y98" s="155">
        <f t="shared" si="21"/>
        <v>-85</v>
      </c>
      <c r="Z98" s="68">
        <f>ROUND($R98+(Teams!$H$2*($T98-$V98)),0)</f>
        <v>1619</v>
      </c>
      <c r="AA98" s="158">
        <f>ROUND($S98+(Teams!$H$2*($U98-$W98)),0)</f>
        <v>1558</v>
      </c>
    </row>
    <row r="99" spans="2:27" ht="12.75">
      <c r="B99" s="158">
        <v>5</v>
      </c>
      <c r="C99" s="216" t="s">
        <v>255</v>
      </c>
      <c r="D99" s="171">
        <v>0</v>
      </c>
      <c r="E99" s="175">
        <v>44</v>
      </c>
      <c r="F99" s="221" t="s">
        <v>152</v>
      </c>
      <c r="G99" s="151" t="str">
        <f>INDEX(Teams!$B$5:$H$45,MATCH(Results!$C99,Teams!$B$5:$B$45,0),3)</f>
        <v>The Hawks Nest</v>
      </c>
      <c r="H99" s="151" t="str">
        <f>INDEX(Teams!$B$5:$H$45,MATCH(Results!$C99,Teams!$B$5:$B$45,0),5)</f>
        <v>Woodlands</v>
      </c>
      <c r="I99" s="152" t="str">
        <f>INDEX(Teams!$B$5:$H$45,MATCH(Results!$C99,Teams!$B$5:$B$45,0),6)</f>
        <v>HUDS</v>
      </c>
      <c r="J99" s="152" t="str">
        <f>INDEX(Teams!$B$5:$H$45,MATCH(Results!$F99,Teams!$B$5:$B$45,0),6)</f>
        <v>WALT</v>
      </c>
      <c r="K99" s="69" t="str">
        <f t="shared" si="11"/>
        <v>HUDSWALT</v>
      </c>
      <c r="L99" s="68" t="str">
        <f t="shared" si="12"/>
        <v>WALT</v>
      </c>
      <c r="M99" s="68">
        <f t="shared" si="13"/>
        <v>1</v>
      </c>
      <c r="N99" s="68">
        <f t="shared" si="14"/>
        <v>44</v>
      </c>
      <c r="O99" s="68" t="str">
        <f t="shared" si="15"/>
        <v>Away</v>
      </c>
      <c r="P99" s="68" t="str">
        <f t="shared" si="16"/>
        <v>HUDS5</v>
      </c>
      <c r="Q99" s="68" t="str">
        <f t="shared" si="17"/>
        <v>WALT5</v>
      </c>
      <c r="R99" s="68" t="e">
        <f>INDEX(RankPoints!$B$4:$AK$19,$B99+1,MATCH(Results!$I99,RankPoints!$B$4:$AK$4,0))</f>
        <v>#N/A</v>
      </c>
      <c r="S99" s="68" t="e">
        <f>INDEX(RankPoints!$B$4:$AK$19,$B99+1,MATCH(Results!$J99,RankPoints!$B$4:$AK$4,0))</f>
        <v>#N/A</v>
      </c>
      <c r="T99" s="68">
        <f t="shared" si="18"/>
        <v>0</v>
      </c>
      <c r="U99" s="155">
        <f t="shared" si="19"/>
        <v>1</v>
      </c>
      <c r="V99" s="156" t="e">
        <f>1/(1+(10^($X99/'[1]Teams'!$F$3)))</f>
        <v>#N/A</v>
      </c>
      <c r="W99" s="157" t="e">
        <f>1/(1+(10^($Y99/'[1]Teams'!$F$3)))</f>
        <v>#N/A</v>
      </c>
      <c r="X99" s="68" t="e">
        <f t="shared" si="20"/>
        <v>#N/A</v>
      </c>
      <c r="Y99" s="155" t="e">
        <f t="shared" si="21"/>
        <v>#N/A</v>
      </c>
      <c r="Z99" s="68" t="e">
        <f>ROUND($R99+(Teams!$H$2*($T99-$V99)),0)</f>
        <v>#N/A</v>
      </c>
      <c r="AA99" s="158" t="e">
        <f>ROUND($S99+(Teams!$H$2*($U99-$W99)),0)</f>
        <v>#N/A</v>
      </c>
    </row>
    <row r="100" spans="2:27" ht="12.75">
      <c r="B100" s="158">
        <v>5</v>
      </c>
      <c r="C100" s="216" t="s">
        <v>158</v>
      </c>
      <c r="D100" s="171">
        <v>16</v>
      </c>
      <c r="E100" s="175">
        <v>3</v>
      </c>
      <c r="F100" s="221" t="s">
        <v>78</v>
      </c>
      <c r="G100" s="151" t="str">
        <f>INDEX(Teams!$B$5:$H$45,MATCH(Results!$C100,Teams!$B$5:$B$45,0),3)</f>
        <v>The Brown House</v>
      </c>
      <c r="H100" s="151" t="str">
        <f>INDEX(Teams!$B$5:$H$45,MATCH(Results!$C100,Teams!$B$5:$B$45,0),5)</f>
        <v>Woodlands</v>
      </c>
      <c r="I100" s="152" t="str">
        <f>INDEX(Teams!$B$5:$H$45,MATCH(Results!$C100,Teams!$B$5:$B$45,0),6)</f>
        <v>TOUF</v>
      </c>
      <c r="J100" s="152" t="str">
        <f>INDEX(Teams!$B$5:$H$45,MATCH(Results!$F100,Teams!$B$5:$B$45,0),6)</f>
        <v>FRBB</v>
      </c>
      <c r="K100" s="69" t="str">
        <f t="shared" si="11"/>
        <v>TOUFFRBB</v>
      </c>
      <c r="L100" s="68" t="str">
        <f t="shared" si="12"/>
        <v>TOUF</v>
      </c>
      <c r="M100" s="68">
        <f t="shared" si="13"/>
        <v>1</v>
      </c>
      <c r="N100" s="68">
        <f t="shared" si="14"/>
        <v>13</v>
      </c>
      <c r="O100" s="68" t="str">
        <f t="shared" si="15"/>
        <v>Home</v>
      </c>
      <c r="P100" s="68" t="str">
        <f t="shared" si="16"/>
        <v>TOUF5</v>
      </c>
      <c r="Q100" s="68" t="str">
        <f t="shared" si="17"/>
        <v>FRBB5</v>
      </c>
      <c r="R100" s="68" t="e">
        <f>INDEX(RankPoints!$B$4:$AK$19,$B100+1,MATCH(Results!$I100,RankPoints!$B$4:$AK$4,0))</f>
        <v>#N/A</v>
      </c>
      <c r="S100" s="68">
        <f>INDEX(RankPoints!$B$4:$AK$19,$B100+1,MATCH(Results!$J100,RankPoints!$B$4:$AK$4,0))</f>
        <v>351</v>
      </c>
      <c r="T100" s="68">
        <f t="shared" si="18"/>
        <v>1</v>
      </c>
      <c r="U100" s="155">
        <f t="shared" si="19"/>
        <v>0</v>
      </c>
      <c r="V100" s="156" t="e">
        <f>1/(1+(10^($X100/'[1]Teams'!$F$3)))</f>
        <v>#N/A</v>
      </c>
      <c r="W100" s="157" t="e">
        <f>1/(1+(10^($Y100/'[1]Teams'!$F$3)))</f>
        <v>#N/A</v>
      </c>
      <c r="X100" s="68" t="e">
        <f t="shared" si="20"/>
        <v>#N/A</v>
      </c>
      <c r="Y100" s="155" t="e">
        <f t="shared" si="21"/>
        <v>#N/A</v>
      </c>
      <c r="Z100" s="68" t="e">
        <f>ROUND($R100+(Teams!$H$2*($T100-$V100)),0)</f>
        <v>#N/A</v>
      </c>
      <c r="AA100" s="158" t="e">
        <f>ROUND($S100+(Teams!$H$2*($U100-$W100)),0)</f>
        <v>#N/A</v>
      </c>
    </row>
    <row r="101" spans="2:27" ht="12.75">
      <c r="B101" s="158">
        <v>5</v>
      </c>
      <c r="C101" s="216" t="s">
        <v>109</v>
      </c>
      <c r="D101" s="171">
        <v>38</v>
      </c>
      <c r="E101" s="175">
        <v>3</v>
      </c>
      <c r="F101" s="221" t="s">
        <v>127</v>
      </c>
      <c r="G101" s="151" t="str">
        <f>INDEX(Teams!$B$5:$H$45,MATCH(Results!$C101,Teams!$B$5:$B$45,0),3)</f>
        <v>Walker Field</v>
      </c>
      <c r="H101" s="151" t="str">
        <f>INDEX(Teams!$B$5:$H$45,MATCH(Results!$C101,Teams!$B$5:$B$45,0),5)</f>
        <v>Woodlands</v>
      </c>
      <c r="I101" s="152" t="str">
        <f>INDEX(Teams!$B$5:$H$45,MATCH(Results!$C101,Teams!$B$5:$B$45,0),6)</f>
        <v>ARKN</v>
      </c>
      <c r="J101" s="152" t="str">
        <f>INDEX(Teams!$B$5:$H$45,MATCH(Results!$F101,Teams!$B$5:$B$45,0),6)</f>
        <v>BUCK</v>
      </c>
      <c r="K101" s="69" t="str">
        <f t="shared" si="11"/>
        <v>ARKNBUCK</v>
      </c>
      <c r="L101" s="68" t="str">
        <f t="shared" si="12"/>
        <v>ARKN</v>
      </c>
      <c r="M101" s="68">
        <f t="shared" si="13"/>
        <v>1</v>
      </c>
      <c r="N101" s="68">
        <f t="shared" si="14"/>
        <v>35</v>
      </c>
      <c r="O101" s="68" t="str">
        <f t="shared" si="15"/>
        <v>Home</v>
      </c>
      <c r="P101" s="68" t="str">
        <f t="shared" si="16"/>
        <v>ARKN5</v>
      </c>
      <c r="Q101" s="68" t="str">
        <f t="shared" si="17"/>
        <v>BUCK5</v>
      </c>
      <c r="R101" s="68">
        <f>INDEX(RankPoints!$B$4:$AK$19,$B101+1,MATCH(Results!$I101,RankPoints!$B$4:$AK$4,0))</f>
        <v>1476</v>
      </c>
      <c r="S101" s="68" t="e">
        <f>INDEX(RankPoints!$B$4:$AK$19,$B101+1,MATCH(Results!$J101,RankPoints!$B$4:$AK$4,0))</f>
        <v>#N/A</v>
      </c>
      <c r="T101" s="68">
        <f t="shared" si="18"/>
        <v>1</v>
      </c>
      <c r="U101" s="155">
        <f t="shared" si="19"/>
        <v>0</v>
      </c>
      <c r="V101" s="156" t="e">
        <f>1/(1+(10^($X101/'[1]Teams'!$F$3)))</f>
        <v>#N/A</v>
      </c>
      <c r="W101" s="157" t="e">
        <f>1/(1+(10^($Y101/'[1]Teams'!$F$3)))</f>
        <v>#N/A</v>
      </c>
      <c r="X101" s="68" t="e">
        <f t="shared" si="20"/>
        <v>#N/A</v>
      </c>
      <c r="Y101" s="155" t="e">
        <f t="shared" si="21"/>
        <v>#N/A</v>
      </c>
      <c r="Z101" s="68" t="e">
        <f>ROUND($R101+(Teams!$H$2*($T101-$V101)),0)</f>
        <v>#N/A</v>
      </c>
      <c r="AA101" s="158" t="e">
        <f>ROUND($S101+(Teams!$H$2*($U101-$W101)),0)</f>
        <v>#N/A</v>
      </c>
    </row>
    <row r="102" spans="2:27" ht="12.75">
      <c r="B102" s="158">
        <v>5</v>
      </c>
      <c r="C102" s="216" t="s">
        <v>125</v>
      </c>
      <c r="D102" s="171">
        <v>7</v>
      </c>
      <c r="E102" s="175">
        <v>9</v>
      </c>
      <c r="F102" s="221" t="s">
        <v>110</v>
      </c>
      <c r="G102" s="151" t="str">
        <f>INDEX(Teams!$B$5:$H$45,MATCH(Results!$C102,Teams!$B$5:$B$45,0),3)</f>
        <v>Groundhog Field</v>
      </c>
      <c r="H102" s="151" t="str">
        <f>INDEX(Teams!$B$5:$H$45,MATCH(Results!$C102,Teams!$B$5:$B$45,0),5)</f>
        <v>Woodlands</v>
      </c>
      <c r="I102" s="152" t="str">
        <f>INDEX(Teams!$B$5:$H$45,MATCH(Results!$C102,Teams!$B$5:$B$45,0),6)</f>
        <v>JGZA</v>
      </c>
      <c r="J102" s="152" t="str">
        <f>INDEX(Teams!$B$5:$H$45,MATCH(Results!$F102,Teams!$B$5:$B$45,0),6)</f>
        <v>UTCA</v>
      </c>
      <c r="K102" s="69" t="str">
        <f t="shared" si="11"/>
        <v>JGZAUTCA</v>
      </c>
      <c r="L102" s="68" t="str">
        <f t="shared" si="12"/>
        <v>UTCA</v>
      </c>
      <c r="M102" s="68">
        <f t="shared" si="13"/>
        <v>1</v>
      </c>
      <c r="N102" s="68">
        <f t="shared" si="14"/>
        <v>2</v>
      </c>
      <c r="O102" s="68" t="str">
        <f t="shared" si="15"/>
        <v>Away</v>
      </c>
      <c r="P102" s="68" t="str">
        <f t="shared" si="16"/>
        <v>JGZA5</v>
      </c>
      <c r="Q102" s="68" t="str">
        <f t="shared" si="17"/>
        <v>UTCA5</v>
      </c>
      <c r="R102" s="68" t="e">
        <f>INDEX(RankPoints!$B$4:$AK$19,$B102+1,MATCH(Results!$I102,RankPoints!$B$4:$AK$4,0))</f>
        <v>#N/A</v>
      </c>
      <c r="S102" s="68">
        <f>INDEX(RankPoints!$B$4:$AK$19,$B102+1,MATCH(Results!$J102,RankPoints!$B$4:$AK$4,0))</f>
        <v>326</v>
      </c>
      <c r="T102" s="68">
        <f t="shared" si="18"/>
        <v>0</v>
      </c>
      <c r="U102" s="155">
        <f t="shared" si="19"/>
        <v>1</v>
      </c>
      <c r="V102" s="156" t="e">
        <f>1/(1+(10^($X102/'[1]Teams'!$F$3)))</f>
        <v>#N/A</v>
      </c>
      <c r="W102" s="157" t="e">
        <f>1/(1+(10^($Y102/'[1]Teams'!$F$3)))</f>
        <v>#N/A</v>
      </c>
      <c r="X102" s="68" t="e">
        <f t="shared" si="20"/>
        <v>#N/A</v>
      </c>
      <c r="Y102" s="155" t="e">
        <f t="shared" si="21"/>
        <v>#N/A</v>
      </c>
      <c r="Z102" s="68" t="e">
        <f>ROUND($R102+(Teams!$H$2*($T102-$V102)),0)</f>
        <v>#N/A</v>
      </c>
      <c r="AA102" s="158" t="e">
        <f>ROUND($S102+(Teams!$H$2*($U102-$W102)),0)</f>
        <v>#N/A</v>
      </c>
    </row>
    <row r="103" spans="2:27" ht="12.75">
      <c r="B103" s="158">
        <v>6</v>
      </c>
      <c r="C103" s="216" t="s">
        <v>271</v>
      </c>
      <c r="D103" s="171">
        <v>22</v>
      </c>
      <c r="E103" s="175">
        <v>10</v>
      </c>
      <c r="F103" s="221" t="s">
        <v>154</v>
      </c>
      <c r="G103" s="151" t="str">
        <f>INDEX(Teams!$B$5:$H$45,MATCH(Results!$C103,Teams!$B$5:$B$45,0),3)</f>
        <v>Saunders Klijde Stadium</v>
      </c>
      <c r="H103" s="151" t="str">
        <f>INDEX(Teams!$B$5:$H$45,MATCH(Results!$C103,Teams!$B$5:$B$45,0),5)</f>
        <v>Big Eight</v>
      </c>
      <c r="I103" s="152" t="str">
        <f>INDEX(Teams!$B$5:$H$45,MATCH(Results!$C103,Teams!$B$5:$B$45,0),6)</f>
        <v>WAA</v>
      </c>
      <c r="J103" s="152" t="str">
        <f>INDEX(Teams!$B$5:$H$45,MATCH(Results!$F103,Teams!$B$5:$B$45,0),6)</f>
        <v>NOBL</v>
      </c>
      <c r="K103" s="69" t="str">
        <f t="shared" si="11"/>
        <v>WAANOBL</v>
      </c>
      <c r="L103" s="68" t="str">
        <f t="shared" si="12"/>
        <v>WAA</v>
      </c>
      <c r="M103" s="68">
        <f t="shared" si="13"/>
        <v>1</v>
      </c>
      <c r="N103" s="68">
        <f t="shared" si="14"/>
        <v>12</v>
      </c>
      <c r="O103" s="68" t="str">
        <f t="shared" si="15"/>
        <v>Home</v>
      </c>
      <c r="P103" s="68" t="str">
        <f t="shared" si="16"/>
        <v>WAA6</v>
      </c>
      <c r="Q103" s="68" t="str">
        <f t="shared" si="17"/>
        <v>NOBL6</v>
      </c>
      <c r="R103" s="68" t="e">
        <f>INDEX(RankPoints!$B$4:$AK$19,$B103+1,MATCH(Results!$I103,RankPoints!$B$4:$AK$4,0))</f>
        <v>#N/A</v>
      </c>
      <c r="S103" s="68" t="e">
        <f>INDEX(RankPoints!$B$4:$AK$19,$B103+1,MATCH(Results!$J103,RankPoints!$B$4:$AK$4,0))</f>
        <v>#N/A</v>
      </c>
      <c r="T103" s="68">
        <f t="shared" si="18"/>
        <v>1</v>
      </c>
      <c r="U103" s="155">
        <f t="shared" si="19"/>
        <v>0</v>
      </c>
      <c r="V103" s="156" t="e">
        <f>1/(1+(10^($X103/'[1]Teams'!$F$3)))</f>
        <v>#N/A</v>
      </c>
      <c r="W103" s="157" t="e">
        <f>1/(1+(10^($Y103/'[1]Teams'!$F$3)))</f>
        <v>#N/A</v>
      </c>
      <c r="X103" s="68" t="e">
        <f t="shared" si="20"/>
        <v>#N/A</v>
      </c>
      <c r="Y103" s="155" t="e">
        <f t="shared" si="21"/>
        <v>#N/A</v>
      </c>
      <c r="Z103" s="68" t="e">
        <f>ROUND($R103+(Teams!$H$2*($T103-$V103)),0)</f>
        <v>#N/A</v>
      </c>
      <c r="AA103" s="158" t="e">
        <f>ROUND($S103+(Teams!$H$2*($U103-$W103)),0)</f>
        <v>#N/A</v>
      </c>
    </row>
    <row r="104" spans="2:27" ht="12.75">
      <c r="B104" s="158">
        <v>6</v>
      </c>
      <c r="C104" s="216" t="s">
        <v>144</v>
      </c>
      <c r="D104" s="171">
        <v>20</v>
      </c>
      <c r="E104" s="175">
        <v>23</v>
      </c>
      <c r="F104" s="221" t="s">
        <v>124</v>
      </c>
      <c r="G104" s="151" t="str">
        <f>INDEX(Teams!$B$5:$H$45,MATCH(Results!$C104,Teams!$B$5:$B$45,0),3)</f>
        <v>Cradence Stadium</v>
      </c>
      <c r="H104" s="151" t="str">
        <f>INDEX(Teams!$B$5:$H$45,MATCH(Results!$C104,Teams!$B$5:$B$45,0),5)</f>
        <v>Big Eight</v>
      </c>
      <c r="I104" s="152" t="str">
        <f>INDEX(Teams!$B$5:$H$45,MATCH(Results!$C104,Teams!$B$5:$B$45,0),6)</f>
        <v>ARLN</v>
      </c>
      <c r="J104" s="152" t="str">
        <f>INDEX(Teams!$B$5:$H$45,MATCH(Results!$F104,Teams!$B$5:$B$45,0),6)</f>
        <v>TIMC</v>
      </c>
      <c r="K104" s="69" t="str">
        <f t="shared" si="11"/>
        <v>ARLNTIMC</v>
      </c>
      <c r="L104" s="68" t="str">
        <f t="shared" si="12"/>
        <v>TIMC</v>
      </c>
      <c r="M104" s="68">
        <f t="shared" si="13"/>
        <v>1</v>
      </c>
      <c r="N104" s="68">
        <f t="shared" si="14"/>
        <v>3</v>
      </c>
      <c r="O104" s="68" t="str">
        <f t="shared" si="15"/>
        <v>Away</v>
      </c>
      <c r="P104" s="68" t="str">
        <f t="shared" si="16"/>
        <v>ARLN6</v>
      </c>
      <c r="Q104" s="68" t="str">
        <f t="shared" si="17"/>
        <v>TIMC6</v>
      </c>
      <c r="R104" s="68" t="e">
        <f>INDEX(RankPoints!$B$4:$AK$19,$B104+1,MATCH(Results!$I104,RankPoints!$B$4:$AK$4,0))</f>
        <v>#N/A</v>
      </c>
      <c r="S104" s="68" t="e">
        <f>INDEX(RankPoints!$B$4:$AK$19,$B104+1,MATCH(Results!$J104,RankPoints!$B$4:$AK$4,0))</f>
        <v>#N/A</v>
      </c>
      <c r="T104" s="68">
        <f t="shared" si="18"/>
        <v>0</v>
      </c>
      <c r="U104" s="155">
        <f t="shared" si="19"/>
        <v>1</v>
      </c>
      <c r="V104" s="156" t="e">
        <f>1/(1+(10^($X104/'[1]Teams'!$F$3)))</f>
        <v>#N/A</v>
      </c>
      <c r="W104" s="157" t="e">
        <f>1/(1+(10^($Y104/'[1]Teams'!$F$3)))</f>
        <v>#N/A</v>
      </c>
      <c r="X104" s="68" t="e">
        <f t="shared" si="20"/>
        <v>#N/A</v>
      </c>
      <c r="Y104" s="155" t="e">
        <f t="shared" si="21"/>
        <v>#N/A</v>
      </c>
      <c r="Z104" s="68" t="e">
        <f>ROUND($R104+(Teams!$H$2*($T104-$V104)),0)</f>
        <v>#N/A</v>
      </c>
      <c r="AA104" s="158" t="e">
        <f>ROUND($S104+(Teams!$H$2*($U104-$W104)),0)</f>
        <v>#N/A</v>
      </c>
    </row>
    <row r="105" spans="2:27" ht="12.75">
      <c r="B105" s="158">
        <v>6</v>
      </c>
      <c r="C105" s="216" t="s">
        <v>270</v>
      </c>
      <c r="D105" s="171">
        <v>27</v>
      </c>
      <c r="E105" s="175">
        <v>16</v>
      </c>
      <c r="F105" s="221" t="s">
        <v>76</v>
      </c>
      <c r="G105" s="151" t="str">
        <f>INDEX(Teams!$B$5:$H$45,MATCH(Results!$C105,Teams!$B$5:$B$45,0),3)</f>
        <v>Bugny Stadium</v>
      </c>
      <c r="H105" s="151" t="str">
        <f>INDEX(Teams!$B$5:$H$45,MATCH(Results!$C105,Teams!$B$5:$B$45,0),5)</f>
        <v>Big Eight</v>
      </c>
      <c r="I105" s="152" t="str">
        <f>INDEX(Teams!$B$5:$H$45,MATCH(Results!$C105,Teams!$B$5:$B$45,0),6)</f>
        <v>BUGN</v>
      </c>
      <c r="J105" s="152" t="str">
        <f>INDEX(Teams!$B$5:$H$45,MATCH(Results!$F105,Teams!$B$5:$B$45,0),6)</f>
        <v>SCTT</v>
      </c>
      <c r="K105" s="69" t="str">
        <f t="shared" si="11"/>
        <v>BUGNSCTT</v>
      </c>
      <c r="L105" s="68" t="str">
        <f t="shared" si="12"/>
        <v>BUGN</v>
      </c>
      <c r="M105" s="68">
        <f t="shared" si="13"/>
        <v>1</v>
      </c>
      <c r="N105" s="68">
        <f t="shared" si="14"/>
        <v>11</v>
      </c>
      <c r="O105" s="68" t="str">
        <f t="shared" si="15"/>
        <v>Home</v>
      </c>
      <c r="P105" s="68" t="str">
        <f t="shared" si="16"/>
        <v>BUGN6</v>
      </c>
      <c r="Q105" s="68" t="str">
        <f t="shared" si="17"/>
        <v>SCTT6</v>
      </c>
      <c r="R105" s="68">
        <f>INDEX(RankPoints!$B$4:$AK$19,$B105+1,MATCH(Results!$I105,RankPoints!$B$4:$AK$4,0))</f>
        <v>0</v>
      </c>
      <c r="S105" s="68">
        <f>INDEX(RankPoints!$B$4:$AK$19,$B105+1,MATCH(Results!$J105,RankPoints!$B$4:$AK$4,0))</f>
        <v>1516</v>
      </c>
      <c r="T105" s="68">
        <f t="shared" si="18"/>
        <v>1</v>
      </c>
      <c r="U105" s="155">
        <f t="shared" si="19"/>
        <v>0</v>
      </c>
      <c r="V105" s="156">
        <f>1/(1+(10^($X105/'[1]Teams'!$F$3)))</f>
        <v>0.9998378452886789</v>
      </c>
      <c r="W105" s="157">
        <f>1/(1+(10^($Y105/'[1]Teams'!$F$3)))</f>
        <v>0.0001621547113210773</v>
      </c>
      <c r="X105" s="68">
        <f t="shared" si="20"/>
        <v>-1516</v>
      </c>
      <c r="Y105" s="155">
        <f t="shared" si="21"/>
        <v>1516</v>
      </c>
      <c r="Z105" s="68">
        <f>ROUND($R105+(Teams!$H$2*($T105-$V105)),0)</f>
        <v>0</v>
      </c>
      <c r="AA105" s="158">
        <f>ROUND($S105+(Teams!$H$2*($U105-$W105)),0)</f>
        <v>1516</v>
      </c>
    </row>
    <row r="106" spans="2:27" ht="12.75">
      <c r="B106" s="158">
        <v>6</v>
      </c>
      <c r="C106" s="216" t="s">
        <v>148</v>
      </c>
      <c r="D106" s="171">
        <v>0</v>
      </c>
      <c r="E106" s="175">
        <v>28</v>
      </c>
      <c r="F106" s="221" t="s">
        <v>77</v>
      </c>
      <c r="G106" s="151" t="str">
        <f>INDEX(Teams!$B$5:$H$45,MATCH(Results!$C106,Teams!$B$5:$B$45,0),3)</f>
        <v>National Stadium</v>
      </c>
      <c r="H106" s="151" t="str">
        <f>INDEX(Teams!$B$5:$H$45,MATCH(Results!$C106,Teams!$B$5:$B$45,0),5)</f>
        <v>Big Eight</v>
      </c>
      <c r="I106" s="152" t="str">
        <f>INDEX(Teams!$B$5:$H$45,MATCH(Results!$C106,Teams!$B$5:$B$45,0),6)</f>
        <v>RELK</v>
      </c>
      <c r="J106" s="152" t="str">
        <f>INDEX(Teams!$B$5:$H$45,MATCH(Results!$F106,Teams!$B$5:$B$45,0),6)</f>
        <v>SAUG</v>
      </c>
      <c r="K106" s="69" t="str">
        <f t="shared" si="11"/>
        <v>RELKSAUG</v>
      </c>
      <c r="L106" s="68" t="str">
        <f t="shared" si="12"/>
        <v>SAUG</v>
      </c>
      <c r="M106" s="68">
        <f t="shared" si="13"/>
        <v>1</v>
      </c>
      <c r="N106" s="68">
        <f t="shared" si="14"/>
        <v>28</v>
      </c>
      <c r="O106" s="68" t="str">
        <f t="shared" si="15"/>
        <v>Away</v>
      </c>
      <c r="P106" s="68" t="str">
        <f t="shared" si="16"/>
        <v>RELK6</v>
      </c>
      <c r="Q106" s="68" t="str">
        <f t="shared" si="17"/>
        <v>SAUG6</v>
      </c>
      <c r="R106" s="68" t="e">
        <f>INDEX(RankPoints!$B$4:$AK$19,$B106+1,MATCH(Results!$I106,RankPoints!$B$4:$AK$4,0))</f>
        <v>#N/A</v>
      </c>
      <c r="S106" s="68">
        <f>INDEX(RankPoints!$B$4:$AK$19,$B106+1,MATCH(Results!$J106,RankPoints!$B$4:$AK$4,0))</f>
        <v>1651</v>
      </c>
      <c r="T106" s="68">
        <f t="shared" si="18"/>
        <v>0</v>
      </c>
      <c r="U106" s="155">
        <f t="shared" si="19"/>
        <v>1</v>
      </c>
      <c r="V106" s="156" t="e">
        <f>1/(1+(10^($X106/'[1]Teams'!$F$3)))</f>
        <v>#N/A</v>
      </c>
      <c r="W106" s="157" t="e">
        <f>1/(1+(10^($Y106/'[1]Teams'!$F$3)))</f>
        <v>#N/A</v>
      </c>
      <c r="X106" s="68" t="e">
        <f t="shared" si="20"/>
        <v>#N/A</v>
      </c>
      <c r="Y106" s="155" t="e">
        <f t="shared" si="21"/>
        <v>#N/A</v>
      </c>
      <c r="Z106" s="68" t="e">
        <f>ROUND($R106+(Teams!$H$2*($T106-$V106)),0)</f>
        <v>#N/A</v>
      </c>
      <c r="AA106" s="158" t="e">
        <f>ROUND($S106+(Teams!$H$2*($U106-$W106)),0)</f>
        <v>#N/A</v>
      </c>
    </row>
    <row r="107" spans="2:27" ht="12.75">
      <c r="B107" s="158">
        <v>6</v>
      </c>
      <c r="C107" s="216" t="s">
        <v>248</v>
      </c>
      <c r="D107" s="171">
        <v>30</v>
      </c>
      <c r="E107" s="175">
        <v>10</v>
      </c>
      <c r="F107" s="221" t="s">
        <v>157</v>
      </c>
      <c r="G107" s="151" t="str">
        <f>INDEX(Teams!$B$5:$H$45,MATCH(Results!$C107,Teams!$B$5:$B$45,0),3)</f>
        <v>Dorrel Stadium</v>
      </c>
      <c r="H107" s="151" t="str">
        <f>INDEX(Teams!$B$5:$H$45,MATCH(Results!$C107,Teams!$B$5:$B$45,0),5)</f>
        <v>Horizon</v>
      </c>
      <c r="I107" s="152" t="str">
        <f>INDEX(Teams!$B$5:$H$45,MATCH(Results!$C107,Teams!$B$5:$B$45,0),6)</f>
        <v>COLD</v>
      </c>
      <c r="J107" s="152" t="str">
        <f>INDEX(Teams!$B$5:$H$45,MATCH(Results!$F107,Teams!$B$5:$B$45,0),6)</f>
        <v>WIEN</v>
      </c>
      <c r="K107" s="69" t="str">
        <f t="shared" si="11"/>
        <v>COLDWIEN</v>
      </c>
      <c r="L107" s="68" t="str">
        <f t="shared" si="12"/>
        <v>COLD</v>
      </c>
      <c r="M107" s="68">
        <f t="shared" si="13"/>
        <v>1</v>
      </c>
      <c r="N107" s="68">
        <f t="shared" si="14"/>
        <v>20</v>
      </c>
      <c r="O107" s="68" t="str">
        <f t="shared" si="15"/>
        <v>Home</v>
      </c>
      <c r="P107" s="68" t="str">
        <f t="shared" si="16"/>
        <v>COLD6</v>
      </c>
      <c r="Q107" s="68" t="str">
        <f t="shared" si="17"/>
        <v>WIEN6</v>
      </c>
      <c r="R107" s="68">
        <f>INDEX(RankPoints!$B$4:$AK$19,$B107+1,MATCH(Results!$I107,RankPoints!$B$4:$AK$4,0))</f>
        <v>1627</v>
      </c>
      <c r="S107" s="68" t="e">
        <f>INDEX(RankPoints!$B$4:$AK$19,$B107+1,MATCH(Results!$J107,RankPoints!$B$4:$AK$4,0))</f>
        <v>#N/A</v>
      </c>
      <c r="T107" s="68">
        <f t="shared" si="18"/>
        <v>1</v>
      </c>
      <c r="U107" s="155">
        <f t="shared" si="19"/>
        <v>0</v>
      </c>
      <c r="V107" s="156" t="e">
        <f>1/(1+(10^($X107/'[1]Teams'!$F$3)))</f>
        <v>#N/A</v>
      </c>
      <c r="W107" s="157" t="e">
        <f>1/(1+(10^($Y107/'[1]Teams'!$F$3)))</f>
        <v>#N/A</v>
      </c>
      <c r="X107" s="68" t="e">
        <f t="shared" si="20"/>
        <v>#N/A</v>
      </c>
      <c r="Y107" s="155" t="e">
        <f t="shared" si="21"/>
        <v>#N/A</v>
      </c>
      <c r="Z107" s="68" t="e">
        <f>ROUND($R107+(Teams!$H$2*($T107-$V107)),0)</f>
        <v>#N/A</v>
      </c>
      <c r="AA107" s="158" t="e">
        <f>ROUND($S107+(Teams!$H$2*($U107-$W107)),0)</f>
        <v>#N/A</v>
      </c>
    </row>
    <row r="108" spans="2:27" ht="12.75">
      <c r="B108" s="158">
        <v>6</v>
      </c>
      <c r="C108" s="216" t="s">
        <v>145</v>
      </c>
      <c r="D108" s="171">
        <v>10</v>
      </c>
      <c r="E108" s="175">
        <v>16</v>
      </c>
      <c r="F108" s="221" t="s">
        <v>149</v>
      </c>
      <c r="G108" s="151" t="str">
        <f>INDEX(Teams!$B$5:$H$45,MATCH(Results!$C108,Teams!$B$5:$B$45,0),3)</f>
        <v>Indana Municipal Field</v>
      </c>
      <c r="H108" s="151" t="str">
        <f>INDEX(Teams!$B$5:$H$45,MATCH(Results!$C108,Teams!$B$5:$B$45,0),5)</f>
        <v>Horizon</v>
      </c>
      <c r="I108" s="152" t="str">
        <f>INDEX(Teams!$B$5:$H$45,MATCH(Results!$C108,Teams!$B$5:$B$45,0),6)</f>
        <v>INDN</v>
      </c>
      <c r="J108" s="152" t="str">
        <f>INDEX(Teams!$B$5:$H$45,MATCH(Results!$F108,Teams!$B$5:$B$45,0),6)</f>
        <v>USPN</v>
      </c>
      <c r="K108" s="69" t="str">
        <f t="shared" si="11"/>
        <v>INDNUSPN</v>
      </c>
      <c r="L108" s="68" t="str">
        <f t="shared" si="12"/>
        <v>USPN</v>
      </c>
      <c r="M108" s="68">
        <f t="shared" si="13"/>
        <v>1</v>
      </c>
      <c r="N108" s="68">
        <f t="shared" si="14"/>
        <v>6</v>
      </c>
      <c r="O108" s="68" t="str">
        <f t="shared" si="15"/>
        <v>Away</v>
      </c>
      <c r="P108" s="68" t="str">
        <f t="shared" si="16"/>
        <v>INDN6</v>
      </c>
      <c r="Q108" s="68" t="str">
        <f t="shared" si="17"/>
        <v>USPN6</v>
      </c>
      <c r="R108" s="68" t="e">
        <f>INDEX(RankPoints!$B$4:$AK$19,$B108+1,MATCH(Results!$I108,RankPoints!$B$4:$AK$4,0))</f>
        <v>#N/A</v>
      </c>
      <c r="S108" s="68" t="e">
        <f>INDEX(RankPoints!$B$4:$AK$19,$B108+1,MATCH(Results!$J108,RankPoints!$B$4:$AK$4,0))</f>
        <v>#N/A</v>
      </c>
      <c r="T108" s="68">
        <f t="shared" si="18"/>
        <v>0</v>
      </c>
      <c r="U108" s="155">
        <f t="shared" si="19"/>
        <v>1</v>
      </c>
      <c r="V108" s="156" t="e">
        <f>1/(1+(10^($X108/'[1]Teams'!$F$3)))</f>
        <v>#N/A</v>
      </c>
      <c r="W108" s="157" t="e">
        <f>1/(1+(10^($Y108/'[1]Teams'!$F$3)))</f>
        <v>#N/A</v>
      </c>
      <c r="X108" s="68" t="e">
        <f t="shared" si="20"/>
        <v>#N/A</v>
      </c>
      <c r="Y108" s="155" t="e">
        <f t="shared" si="21"/>
        <v>#N/A</v>
      </c>
      <c r="Z108" s="68" t="e">
        <f>ROUND($R108+(Teams!$H$2*($T108-$V108)),0)</f>
        <v>#N/A</v>
      </c>
      <c r="AA108" s="158" t="e">
        <f>ROUND($S108+(Teams!$H$2*($U108-$W108)),0)</f>
        <v>#N/A</v>
      </c>
    </row>
    <row r="109" spans="2:27" ht="12.75">
      <c r="B109" s="158">
        <v>6</v>
      </c>
      <c r="C109" s="216" t="s">
        <v>20</v>
      </c>
      <c r="D109" s="171">
        <v>36</v>
      </c>
      <c r="E109" s="175">
        <v>6</v>
      </c>
      <c r="F109" s="221" t="s">
        <v>151</v>
      </c>
      <c r="G109" s="151" t="str">
        <f>INDEX(Teams!$B$5:$H$45,MATCH(Results!$C109,Teams!$B$5:$B$45,0),3)</f>
        <v>Capital Coliseum</v>
      </c>
      <c r="H109" s="151" t="str">
        <f>INDEX(Teams!$B$5:$H$45,MATCH(Results!$C109,Teams!$B$5:$B$45,0),5)</f>
        <v>Horizon</v>
      </c>
      <c r="I109" s="152" t="str">
        <f>INDEX(Teams!$B$5:$H$45,MATCH(Results!$C109,Teams!$B$5:$B$45,0),6)</f>
        <v>RCU</v>
      </c>
      <c r="J109" s="152" t="str">
        <f>INDEX(Teams!$B$5:$H$45,MATCH(Results!$F109,Teams!$B$5:$B$45,0),6)</f>
        <v>OLYM</v>
      </c>
      <c r="K109" s="69" t="str">
        <f t="shared" si="11"/>
        <v>RCUOLYM</v>
      </c>
      <c r="L109" s="68" t="str">
        <f t="shared" si="12"/>
        <v>RCU</v>
      </c>
      <c r="M109" s="68">
        <f t="shared" si="13"/>
        <v>1</v>
      </c>
      <c r="N109" s="68">
        <f t="shared" si="14"/>
        <v>30</v>
      </c>
      <c r="O109" s="68" t="str">
        <f t="shared" si="15"/>
        <v>Home</v>
      </c>
      <c r="P109" s="68" t="str">
        <f t="shared" si="16"/>
        <v>RCU6</v>
      </c>
      <c r="Q109" s="68" t="str">
        <f t="shared" si="17"/>
        <v>OLYM6</v>
      </c>
      <c r="R109" s="68">
        <f>INDEX(RankPoints!$B$4:$AK$19,$B109+1,MATCH(Results!$I109,RankPoints!$B$4:$AK$4,0))</f>
        <v>1380</v>
      </c>
      <c r="S109" s="68" t="e">
        <f>INDEX(RankPoints!$B$4:$AK$19,$B109+1,MATCH(Results!$J109,RankPoints!$B$4:$AK$4,0))</f>
        <v>#N/A</v>
      </c>
      <c r="T109" s="68">
        <f t="shared" si="18"/>
        <v>1</v>
      </c>
      <c r="U109" s="155">
        <f t="shared" si="19"/>
        <v>0</v>
      </c>
      <c r="V109" s="156" t="e">
        <f>1/(1+(10^($X109/'[1]Teams'!$F$3)))</f>
        <v>#N/A</v>
      </c>
      <c r="W109" s="157" t="e">
        <f>1/(1+(10^($Y109/'[1]Teams'!$F$3)))</f>
        <v>#N/A</v>
      </c>
      <c r="X109" s="68" t="e">
        <f t="shared" si="20"/>
        <v>#N/A</v>
      </c>
      <c r="Y109" s="155" t="e">
        <f t="shared" si="21"/>
        <v>#N/A</v>
      </c>
      <c r="Z109" s="68" t="e">
        <f>ROUND($R109+(Teams!$H$2*($T109-$V109)),0)</f>
        <v>#N/A</v>
      </c>
      <c r="AA109" s="158" t="e">
        <f>ROUND($S109+(Teams!$H$2*($U109-$W109)),0)</f>
        <v>#N/A</v>
      </c>
    </row>
    <row r="110" spans="2:27" ht="12.75">
      <c r="B110" s="158">
        <v>6</v>
      </c>
      <c r="C110" s="216" t="s">
        <v>153</v>
      </c>
      <c r="D110" s="171">
        <v>17</v>
      </c>
      <c r="E110" s="175">
        <v>0</v>
      </c>
      <c r="F110" s="221" t="s">
        <v>21</v>
      </c>
      <c r="G110" s="151" t="str">
        <f>INDEX(Teams!$B$5:$H$45,MATCH(Results!$C110,Teams!$B$5:$B$45,0),3)</f>
        <v>Cheikanwa Stadium</v>
      </c>
      <c r="H110" s="151" t="str">
        <f>INDEX(Teams!$B$5:$H$45,MATCH(Results!$C110,Teams!$B$5:$B$45,0),5)</f>
        <v>Horizon</v>
      </c>
      <c r="I110" s="152" t="str">
        <f>INDEX(Teams!$B$5:$H$45,MATCH(Results!$C110,Teams!$B$5:$B$45,0),6)</f>
        <v>RSTU</v>
      </c>
      <c r="J110" s="152" t="str">
        <f>INDEX(Teams!$B$5:$H$45,MATCH(Results!$F110,Teams!$B$5:$B$45,0),6)</f>
        <v>STON</v>
      </c>
      <c r="K110" s="69" t="str">
        <f t="shared" si="11"/>
        <v>RSTUSTON</v>
      </c>
      <c r="L110" s="68" t="str">
        <f t="shared" si="12"/>
        <v>RSTU</v>
      </c>
      <c r="M110" s="68">
        <f t="shared" si="13"/>
        <v>1</v>
      </c>
      <c r="N110" s="68">
        <f t="shared" si="14"/>
        <v>17</v>
      </c>
      <c r="O110" s="68" t="str">
        <f t="shared" si="15"/>
        <v>Home</v>
      </c>
      <c r="P110" s="68" t="str">
        <f t="shared" si="16"/>
        <v>RSTU6</v>
      </c>
      <c r="Q110" s="68" t="str">
        <f t="shared" si="17"/>
        <v>STON6</v>
      </c>
      <c r="R110" s="68" t="e">
        <f>INDEX(RankPoints!$B$4:$AK$19,$B110+1,MATCH(Results!$I110,RankPoints!$B$4:$AK$4,0))</f>
        <v>#N/A</v>
      </c>
      <c r="S110" s="68">
        <f>INDEX(RankPoints!$B$4:$AK$19,$B110+1,MATCH(Results!$J110,RankPoints!$B$4:$AK$4,0))</f>
        <v>-1223</v>
      </c>
      <c r="T110" s="68">
        <f t="shared" si="18"/>
        <v>1</v>
      </c>
      <c r="U110" s="155">
        <f t="shared" si="19"/>
        <v>0</v>
      </c>
      <c r="V110" s="156" t="e">
        <f>1/(1+(10^($X110/'[1]Teams'!$F$3)))</f>
        <v>#N/A</v>
      </c>
      <c r="W110" s="157" t="e">
        <f>1/(1+(10^($Y110/'[1]Teams'!$F$3)))</f>
        <v>#N/A</v>
      </c>
      <c r="X110" s="68" t="e">
        <f t="shared" si="20"/>
        <v>#N/A</v>
      </c>
      <c r="Y110" s="155" t="e">
        <f t="shared" si="21"/>
        <v>#N/A</v>
      </c>
      <c r="Z110" s="68" t="e">
        <f>ROUND($R110+(Teams!$H$2*($T110-$V110)),0)</f>
        <v>#N/A</v>
      </c>
      <c r="AA110" s="158" t="e">
        <f>ROUND($S110+(Teams!$H$2*($U110-$W110)),0)</f>
        <v>#N/A</v>
      </c>
    </row>
    <row r="111" spans="2:27" ht="12.75">
      <c r="B111" s="158">
        <v>6</v>
      </c>
      <c r="C111" s="216" t="s">
        <v>121</v>
      </c>
      <c r="D111" s="171">
        <v>0</v>
      </c>
      <c r="E111" s="175">
        <v>16</v>
      </c>
      <c r="F111" s="221" t="s">
        <v>80</v>
      </c>
      <c r="G111" s="151" t="str">
        <f>INDEX(Teams!$B$5:$H$45,MATCH(Results!$C111,Teams!$B$5:$B$45,0),3)</f>
        <v>P. K. Morgan &amp; Sons Field</v>
      </c>
      <c r="H111" s="151" t="str">
        <f>INDEX(Teams!$B$5:$H$45,MATCH(Results!$C111,Teams!$B$5:$B$45,0),5)</f>
        <v>Mineral</v>
      </c>
      <c r="I111" s="152" t="str">
        <f>INDEX(Teams!$B$5:$H$45,MATCH(Results!$C111,Teams!$B$5:$B$45,0),6)</f>
        <v>CRGA</v>
      </c>
      <c r="J111" s="152" t="str">
        <f>INDEX(Teams!$B$5:$H$45,MATCH(Results!$F111,Teams!$B$5:$B$45,0),6)</f>
        <v>OCSU</v>
      </c>
      <c r="K111" s="69" t="str">
        <f t="shared" si="11"/>
        <v>CRGAOCSU</v>
      </c>
      <c r="L111" s="68" t="str">
        <f t="shared" si="12"/>
        <v>OCSU</v>
      </c>
      <c r="M111" s="68">
        <f t="shared" si="13"/>
        <v>1</v>
      </c>
      <c r="N111" s="68">
        <f t="shared" si="14"/>
        <v>16</v>
      </c>
      <c r="O111" s="68" t="str">
        <f t="shared" si="15"/>
        <v>Away</v>
      </c>
      <c r="P111" s="68" t="str">
        <f t="shared" si="16"/>
        <v>CRGA6</v>
      </c>
      <c r="Q111" s="68" t="str">
        <f t="shared" si="17"/>
        <v>OCSU6</v>
      </c>
      <c r="R111" s="68" t="e">
        <f>INDEX(RankPoints!$B$4:$AK$19,$B111+1,MATCH(Results!$I111,RankPoints!$B$4:$AK$4,0))</f>
        <v>#N/A</v>
      </c>
      <c r="S111" s="68">
        <f>INDEX(RankPoints!$B$4:$AK$19,$B111+1,MATCH(Results!$J111,RankPoints!$B$4:$AK$4,0))</f>
        <v>1516</v>
      </c>
      <c r="T111" s="68">
        <f t="shared" si="18"/>
        <v>0</v>
      </c>
      <c r="U111" s="155">
        <f t="shared" si="19"/>
        <v>1</v>
      </c>
      <c r="V111" s="156" t="e">
        <f>1/(1+(10^($X111/'[1]Teams'!$F$3)))</f>
        <v>#N/A</v>
      </c>
      <c r="W111" s="157" t="e">
        <f>1/(1+(10^($Y111/'[1]Teams'!$F$3)))</f>
        <v>#N/A</v>
      </c>
      <c r="X111" s="68" t="e">
        <f t="shared" si="20"/>
        <v>#N/A</v>
      </c>
      <c r="Y111" s="155" t="e">
        <f t="shared" si="21"/>
        <v>#N/A</v>
      </c>
      <c r="Z111" s="68" t="e">
        <f>ROUND($R111+(Teams!$H$2*($T111-$V111)),0)</f>
        <v>#N/A</v>
      </c>
      <c r="AA111" s="158" t="e">
        <f>ROUND($S111+(Teams!$H$2*($U111-$W111)),0)</f>
        <v>#N/A</v>
      </c>
    </row>
    <row r="112" spans="2:27" ht="12.75">
      <c r="B112" s="158">
        <v>6</v>
      </c>
      <c r="C112" s="216" t="s">
        <v>156</v>
      </c>
      <c r="D112" s="171">
        <v>16</v>
      </c>
      <c r="E112" s="175">
        <v>13</v>
      </c>
      <c r="F112" s="221" t="s">
        <v>146</v>
      </c>
      <c r="G112" s="151" t="str">
        <f>INDEX(Teams!$B$5:$H$45,MATCH(Results!$C112,Teams!$B$5:$B$45,0),3)</f>
        <v>Luis Cod Memorial Stadium</v>
      </c>
      <c r="H112" s="151" t="str">
        <f>INDEX(Teams!$B$5:$H$45,MATCH(Results!$C112,Teams!$B$5:$B$45,0),5)</f>
        <v>Mineral</v>
      </c>
      <c r="I112" s="152" t="str">
        <f>INDEX(Teams!$B$5:$H$45,MATCH(Results!$C112,Teams!$B$5:$B$45,0),6)</f>
        <v>BLUE</v>
      </c>
      <c r="J112" s="152" t="str">
        <f>INDEX(Teams!$B$5:$H$45,MATCH(Results!$F112,Teams!$B$5:$B$45,0),6)</f>
        <v>WSIT</v>
      </c>
      <c r="K112" s="69" t="str">
        <f t="shared" si="11"/>
        <v>BLUEWSIT</v>
      </c>
      <c r="L112" s="68" t="str">
        <f t="shared" si="12"/>
        <v>BLUE</v>
      </c>
      <c r="M112" s="68">
        <f t="shared" si="13"/>
        <v>1</v>
      </c>
      <c r="N112" s="68">
        <f t="shared" si="14"/>
        <v>3</v>
      </c>
      <c r="O112" s="68" t="str">
        <f t="shared" si="15"/>
        <v>Home</v>
      </c>
      <c r="P112" s="68" t="str">
        <f t="shared" si="16"/>
        <v>BLUE6</v>
      </c>
      <c r="Q112" s="68" t="str">
        <f t="shared" si="17"/>
        <v>WSIT6</v>
      </c>
      <c r="R112" s="68" t="e">
        <f>INDEX(RankPoints!$B$4:$AK$19,$B112+1,MATCH(Results!$I112,RankPoints!$B$4:$AK$4,0))</f>
        <v>#N/A</v>
      </c>
      <c r="S112" s="68" t="e">
        <f>INDEX(RankPoints!$B$4:$AK$19,$B112+1,MATCH(Results!$J112,RankPoints!$B$4:$AK$4,0))</f>
        <v>#N/A</v>
      </c>
      <c r="T112" s="68">
        <f t="shared" si="18"/>
        <v>1</v>
      </c>
      <c r="U112" s="155">
        <f t="shared" si="19"/>
        <v>0</v>
      </c>
      <c r="V112" s="156" t="e">
        <f>1/(1+(10^($X112/'[1]Teams'!$F$3)))</f>
        <v>#N/A</v>
      </c>
      <c r="W112" s="157" t="e">
        <f>1/(1+(10^($Y112/'[1]Teams'!$F$3)))</f>
        <v>#N/A</v>
      </c>
      <c r="X112" s="68" t="e">
        <f t="shared" si="20"/>
        <v>#N/A</v>
      </c>
      <c r="Y112" s="155" t="e">
        <f t="shared" si="21"/>
        <v>#N/A</v>
      </c>
      <c r="Z112" s="68" t="e">
        <f>ROUND($R112+(Teams!$H$2*($T112-$V112)),0)</f>
        <v>#N/A</v>
      </c>
      <c r="AA112" s="158" t="e">
        <f>ROUND($S112+(Teams!$H$2*($U112-$W112)),0)</f>
        <v>#N/A</v>
      </c>
    </row>
    <row r="113" spans="2:27" ht="12.75">
      <c r="B113" s="158">
        <v>6</v>
      </c>
      <c r="C113" s="216" t="s">
        <v>155</v>
      </c>
      <c r="D113" s="171">
        <v>9</v>
      </c>
      <c r="E113" s="175">
        <v>3</v>
      </c>
      <c r="F113" s="221" t="s">
        <v>251</v>
      </c>
      <c r="G113" s="151" t="str">
        <f>INDEX(Teams!$B$5:$H$45,MATCH(Results!$C113,Teams!$B$5:$B$45,0),3)</f>
        <v>East Kilbride Area</v>
      </c>
      <c r="H113" s="151" t="str">
        <f>INDEX(Teams!$B$5:$H$45,MATCH(Results!$C113,Teams!$B$5:$B$45,0),5)</f>
        <v>Mineral</v>
      </c>
      <c r="I113" s="152" t="str">
        <f>INDEX(Teams!$B$5:$H$45,MATCH(Results!$C113,Teams!$B$5:$B$45,0),6)</f>
        <v>EKIL</v>
      </c>
      <c r="J113" s="152" t="str">
        <f>INDEX(Teams!$B$5:$H$45,MATCH(Results!$F113,Teams!$B$5:$B$45,0),6)</f>
        <v>HRLP</v>
      </c>
      <c r="K113" s="69" t="str">
        <f t="shared" si="11"/>
        <v>EKILHRLP</v>
      </c>
      <c r="L113" s="68" t="str">
        <f t="shared" si="12"/>
        <v>EKIL</v>
      </c>
      <c r="M113" s="68">
        <f t="shared" si="13"/>
        <v>1</v>
      </c>
      <c r="N113" s="68">
        <f t="shared" si="14"/>
        <v>6</v>
      </c>
      <c r="O113" s="68" t="str">
        <f t="shared" si="15"/>
        <v>Home</v>
      </c>
      <c r="P113" s="68" t="str">
        <f t="shared" si="16"/>
        <v>EKIL6</v>
      </c>
      <c r="Q113" s="68" t="str">
        <f t="shared" si="17"/>
        <v>HRLP6</v>
      </c>
      <c r="R113" s="68" t="e">
        <f>INDEX(RankPoints!$B$4:$AK$19,$B113+1,MATCH(Results!$I113,RankPoints!$B$4:$AK$4,0))</f>
        <v>#N/A</v>
      </c>
      <c r="S113" s="68" t="e">
        <f>INDEX(RankPoints!$B$4:$AK$19,$B113+1,MATCH(Results!$J113,RankPoints!$B$4:$AK$4,0))</f>
        <v>#N/A</v>
      </c>
      <c r="T113" s="68">
        <f t="shared" si="18"/>
        <v>1</v>
      </c>
      <c r="U113" s="155">
        <f t="shared" si="19"/>
        <v>0</v>
      </c>
      <c r="V113" s="156" t="e">
        <f>1/(1+(10^($X113/'[1]Teams'!$F$3)))</f>
        <v>#N/A</v>
      </c>
      <c r="W113" s="157" t="e">
        <f>1/(1+(10^($Y113/'[1]Teams'!$F$3)))</f>
        <v>#N/A</v>
      </c>
      <c r="X113" s="68" t="e">
        <f t="shared" si="20"/>
        <v>#N/A</v>
      </c>
      <c r="Y113" s="155" t="e">
        <f t="shared" si="21"/>
        <v>#N/A</v>
      </c>
      <c r="Z113" s="68" t="e">
        <f>ROUND($R113+(Teams!$H$2*($T113-$V113)),0)</f>
        <v>#N/A</v>
      </c>
      <c r="AA113" s="158" t="e">
        <f>ROUND($S113+(Teams!$H$2*($U113-$W113)),0)</f>
        <v>#N/A</v>
      </c>
    </row>
    <row r="114" spans="2:27" ht="12.75">
      <c r="B114" s="158">
        <v>6</v>
      </c>
      <c r="C114" s="216" t="s">
        <v>150</v>
      </c>
      <c r="D114" s="171">
        <v>14</v>
      </c>
      <c r="E114" s="175">
        <v>48</v>
      </c>
      <c r="F114" s="221" t="s">
        <v>266</v>
      </c>
      <c r="G114" s="151" t="str">
        <f>INDEX(Teams!$B$5:$H$45,MATCH(Results!$C114,Teams!$B$5:$B$45,0),3)</f>
        <v>Roger Jalston Memorial Stadium</v>
      </c>
      <c r="H114" s="151" t="str">
        <f>INDEX(Teams!$B$5:$H$45,MATCH(Results!$C114,Teams!$B$5:$B$45,0),5)</f>
        <v>Mineral</v>
      </c>
      <c r="I114" s="152" t="str">
        <f>INDEX(Teams!$B$5:$H$45,MATCH(Results!$C114,Teams!$B$5:$B$45,0),6)</f>
        <v>RICH</v>
      </c>
      <c r="J114" s="152" t="str">
        <f>INDEX(Teams!$B$5:$H$45,MATCH(Results!$F114,Teams!$B$5:$B$45,0),6)</f>
        <v>UPSL</v>
      </c>
      <c r="K114" s="69" t="str">
        <f t="shared" si="11"/>
        <v>RICHUPSL</v>
      </c>
      <c r="L114" s="68" t="str">
        <f t="shared" si="12"/>
        <v>UPSL</v>
      </c>
      <c r="M114" s="68">
        <f t="shared" si="13"/>
        <v>1</v>
      </c>
      <c r="N114" s="68">
        <f t="shared" si="14"/>
        <v>34</v>
      </c>
      <c r="O114" s="68" t="str">
        <f t="shared" si="15"/>
        <v>Away</v>
      </c>
      <c r="P114" s="68" t="str">
        <f t="shared" si="16"/>
        <v>RICH6</v>
      </c>
      <c r="Q114" s="68" t="str">
        <f t="shared" si="17"/>
        <v>UPSL6</v>
      </c>
      <c r="R114" s="68" t="e">
        <f>INDEX(RankPoints!$B$4:$AK$19,$B114+1,MATCH(Results!$I114,RankPoints!$B$4:$AK$4,0))</f>
        <v>#N/A</v>
      </c>
      <c r="S114" s="68">
        <f>INDEX(RankPoints!$B$4:$AK$19,$B114+1,MATCH(Results!$J114,RankPoints!$B$4:$AK$4,0))</f>
        <v>0</v>
      </c>
      <c r="T114" s="68">
        <f t="shared" si="18"/>
        <v>0</v>
      </c>
      <c r="U114" s="155">
        <f t="shared" si="19"/>
        <v>1</v>
      </c>
      <c r="V114" s="156" t="e">
        <f>1/(1+(10^($X114/'[1]Teams'!$F$3)))</f>
        <v>#N/A</v>
      </c>
      <c r="W114" s="157" t="e">
        <f>1/(1+(10^($Y114/'[1]Teams'!$F$3)))</f>
        <v>#N/A</v>
      </c>
      <c r="X114" s="68" t="e">
        <f t="shared" si="20"/>
        <v>#N/A</v>
      </c>
      <c r="Y114" s="155" t="e">
        <f t="shared" si="21"/>
        <v>#N/A</v>
      </c>
      <c r="Z114" s="68" t="e">
        <f>ROUND($R114+(Teams!$H$2*($T114-$V114)),0)</f>
        <v>#N/A</v>
      </c>
      <c r="AA114" s="158" t="e">
        <f>ROUND($S114+(Teams!$H$2*($U114-$W114)),0)</f>
        <v>#N/A</v>
      </c>
    </row>
    <row r="115" spans="2:27" ht="12.75">
      <c r="B115" s="158">
        <v>6</v>
      </c>
      <c r="C115" s="216" t="s">
        <v>269</v>
      </c>
      <c r="D115" s="171">
        <v>10</v>
      </c>
      <c r="E115" s="175">
        <v>21</v>
      </c>
      <c r="F115" s="221" t="s">
        <v>79</v>
      </c>
      <c r="G115" s="151" t="str">
        <f>INDEX(Teams!$B$5:$H$45,MATCH(Results!$C115,Teams!$B$5:$B$45,0),3)</f>
        <v>St John's Castle</v>
      </c>
      <c r="H115" s="151" t="str">
        <f>INDEX(Teams!$B$5:$H$45,MATCH(Results!$C115,Teams!$B$5:$B$45,0),5)</f>
        <v>Sequoia</v>
      </c>
      <c r="I115" s="152" t="str">
        <f>INDEX(Teams!$B$5:$H$45,MATCH(Results!$C115,Teams!$B$5:$B$45,0),6)</f>
        <v>STJN</v>
      </c>
      <c r="J115" s="152" t="str">
        <f>INDEX(Teams!$B$5:$H$45,MATCH(Results!$F115,Teams!$B$5:$B$45,0),6)</f>
        <v>RVMD</v>
      </c>
      <c r="K115" s="69" t="str">
        <f t="shared" si="11"/>
        <v>STJNRVMD</v>
      </c>
      <c r="L115" s="68" t="str">
        <f t="shared" si="12"/>
        <v>RVMD</v>
      </c>
      <c r="M115" s="68">
        <f t="shared" si="13"/>
        <v>1</v>
      </c>
      <c r="N115" s="68">
        <f t="shared" si="14"/>
        <v>11</v>
      </c>
      <c r="O115" s="68" t="str">
        <f t="shared" si="15"/>
        <v>Away</v>
      </c>
      <c r="P115" s="68" t="str">
        <f t="shared" si="16"/>
        <v>STJN6</v>
      </c>
      <c r="Q115" s="68" t="str">
        <f t="shared" si="17"/>
        <v>RVMD6</v>
      </c>
      <c r="R115" s="68">
        <f>INDEX(RankPoints!$B$4:$AK$19,$B115+1,MATCH(Results!$I115,RankPoints!$B$4:$AK$4,0))</f>
        <v>1500</v>
      </c>
      <c r="S115" s="68">
        <f>INDEX(RankPoints!$B$4:$AK$19,$B115+1,MATCH(Results!$J115,RankPoints!$B$4:$AK$4,0))</f>
        <v>1619</v>
      </c>
      <c r="T115" s="68">
        <f t="shared" si="18"/>
        <v>0</v>
      </c>
      <c r="U115" s="155">
        <f t="shared" si="19"/>
        <v>1</v>
      </c>
      <c r="V115" s="156">
        <f>1/(1+(10^($X115/'[1]Teams'!$F$3)))</f>
        <v>0.6648579785547648</v>
      </c>
      <c r="W115" s="157">
        <f>1/(1+(10^($Y115/'[1]Teams'!$F$3)))</f>
        <v>0.33514202144523514</v>
      </c>
      <c r="X115" s="68">
        <f t="shared" si="20"/>
        <v>-119</v>
      </c>
      <c r="Y115" s="155">
        <f t="shared" si="21"/>
        <v>119</v>
      </c>
      <c r="Z115" s="68">
        <f>ROUND($R115+(Teams!$H$2*($T115-$V115)),0)</f>
        <v>1479</v>
      </c>
      <c r="AA115" s="158">
        <f>ROUND($S115+(Teams!$H$2*($U115-$W115)),0)</f>
        <v>1640</v>
      </c>
    </row>
    <row r="116" spans="2:27" ht="12.75">
      <c r="B116" s="158">
        <v>6</v>
      </c>
      <c r="C116" s="216" t="s">
        <v>265</v>
      </c>
      <c r="D116" s="171">
        <v>3</v>
      </c>
      <c r="E116" s="175">
        <v>16</v>
      </c>
      <c r="F116" s="221" t="s">
        <v>111</v>
      </c>
      <c r="G116" s="151" t="str">
        <f>INDEX(Teams!$B$5:$H$45,MATCH(Results!$C116,Teams!$B$5:$B$45,0),3)</f>
        <v>Extraterrestrial Dome of Sport</v>
      </c>
      <c r="H116" s="151" t="str">
        <f>INDEX(Teams!$B$5:$H$45,MATCH(Results!$C116,Teams!$B$5:$B$45,0),5)</f>
        <v>Sequoia</v>
      </c>
      <c r="I116" s="152" t="str">
        <f>INDEX(Teams!$B$5:$H$45,MATCH(Results!$C116,Teams!$B$5:$B$45,0),6)</f>
        <v>ACSP</v>
      </c>
      <c r="J116" s="152" t="str">
        <f>INDEX(Teams!$B$5:$H$45,MATCH(Results!$F116,Teams!$B$5:$B$45,0),6)</f>
        <v>NRDN</v>
      </c>
      <c r="K116" s="69" t="str">
        <f t="shared" si="11"/>
        <v>ACSPNRDN</v>
      </c>
      <c r="L116" s="68" t="str">
        <f t="shared" si="12"/>
        <v>NRDN</v>
      </c>
      <c r="M116" s="68">
        <f t="shared" si="13"/>
        <v>1</v>
      </c>
      <c r="N116" s="68">
        <f t="shared" si="14"/>
        <v>13</v>
      </c>
      <c r="O116" s="68" t="str">
        <f t="shared" si="15"/>
        <v>Away</v>
      </c>
      <c r="P116" s="68" t="str">
        <f t="shared" si="16"/>
        <v>ACSP6</v>
      </c>
      <c r="Q116" s="68" t="str">
        <f t="shared" si="17"/>
        <v>NRDN6</v>
      </c>
      <c r="R116" s="68" t="e">
        <f>INDEX(RankPoints!$B$4:$AK$19,$B116+1,MATCH(Results!$I116,RankPoints!$B$4:$AK$4,0))</f>
        <v>#N/A</v>
      </c>
      <c r="S116" s="68">
        <f>INDEX(RankPoints!$B$4:$AK$19,$B116+1,MATCH(Results!$J116,RankPoints!$B$4:$AK$4,0))</f>
        <v>-85</v>
      </c>
      <c r="T116" s="68">
        <f t="shared" si="18"/>
        <v>0</v>
      </c>
      <c r="U116" s="155">
        <f t="shared" si="19"/>
        <v>1</v>
      </c>
      <c r="V116" s="156" t="e">
        <f>1/(1+(10^($X116/'[1]Teams'!$F$3)))</f>
        <v>#N/A</v>
      </c>
      <c r="W116" s="157" t="e">
        <f>1/(1+(10^($Y116/'[1]Teams'!$F$3)))</f>
        <v>#N/A</v>
      </c>
      <c r="X116" s="68" t="e">
        <f t="shared" si="20"/>
        <v>#N/A</v>
      </c>
      <c r="Y116" s="155" t="e">
        <f t="shared" si="21"/>
        <v>#N/A</v>
      </c>
      <c r="Z116" s="68" t="e">
        <f>ROUND($R116+(Teams!$H$2*($T116-$V116)),0)</f>
        <v>#N/A</v>
      </c>
      <c r="AA116" s="158" t="e">
        <f>ROUND($S116+(Teams!$H$2*($U116-$W116)),0)</f>
        <v>#N/A</v>
      </c>
    </row>
    <row r="117" spans="2:27" ht="12.75">
      <c r="B117" s="158">
        <v>6</v>
      </c>
      <c r="C117" s="216" t="s">
        <v>117</v>
      </c>
      <c r="D117" s="171">
        <v>13</v>
      </c>
      <c r="E117" s="175">
        <v>7</v>
      </c>
      <c r="F117" s="221" t="s">
        <v>119</v>
      </c>
      <c r="G117" s="151" t="str">
        <f>INDEX(Teams!$B$5:$H$45,MATCH(Results!$C117,Teams!$B$5:$B$45,0),3)</f>
        <v>Rimben Park</v>
      </c>
      <c r="H117" s="151" t="str">
        <f>INDEX(Teams!$B$5:$H$45,MATCH(Results!$C117,Teams!$B$5:$B$45,0),5)</f>
        <v>Sequoia</v>
      </c>
      <c r="I117" s="152" t="str">
        <f>INDEX(Teams!$B$5:$H$45,MATCH(Results!$C117,Teams!$B$5:$B$45,0),6)</f>
        <v>ALUT</v>
      </c>
      <c r="J117" s="152" t="str">
        <f>INDEX(Teams!$B$5:$H$45,MATCH(Results!$F117,Teams!$B$5:$B$45,0),6)</f>
        <v>NETT</v>
      </c>
      <c r="K117" s="69" t="str">
        <f t="shared" si="11"/>
        <v>ALUTNETT</v>
      </c>
      <c r="L117" s="68" t="str">
        <f t="shared" si="12"/>
        <v>ALUT</v>
      </c>
      <c r="M117" s="68">
        <f t="shared" si="13"/>
        <v>1</v>
      </c>
      <c r="N117" s="68">
        <f t="shared" si="14"/>
        <v>6</v>
      </c>
      <c r="O117" s="68" t="str">
        <f t="shared" si="15"/>
        <v>Home</v>
      </c>
      <c r="P117" s="68" t="str">
        <f t="shared" si="16"/>
        <v>ALUT6</v>
      </c>
      <c r="Q117" s="68" t="str">
        <f t="shared" si="17"/>
        <v>NETT6</v>
      </c>
      <c r="R117" s="68" t="e">
        <f>INDEX(RankPoints!$B$4:$AK$19,$B117+1,MATCH(Results!$I117,RankPoints!$B$4:$AK$4,0))</f>
        <v>#N/A</v>
      </c>
      <c r="S117" s="68" t="e">
        <f>INDEX(RankPoints!$B$4:$AK$19,$B117+1,MATCH(Results!$J117,RankPoints!$B$4:$AK$4,0))</f>
        <v>#N/A</v>
      </c>
      <c r="T117" s="68">
        <f t="shared" si="18"/>
        <v>1</v>
      </c>
      <c r="U117" s="155">
        <f t="shared" si="19"/>
        <v>0</v>
      </c>
      <c r="V117" s="156" t="e">
        <f>1/(1+(10^($X117/'[1]Teams'!$F$3)))</f>
        <v>#N/A</v>
      </c>
      <c r="W117" s="157" t="e">
        <f>1/(1+(10^($Y117/'[1]Teams'!$F$3)))</f>
        <v>#N/A</v>
      </c>
      <c r="X117" s="68" t="e">
        <f t="shared" si="20"/>
        <v>#N/A</v>
      </c>
      <c r="Y117" s="155" t="e">
        <f t="shared" si="21"/>
        <v>#N/A</v>
      </c>
      <c r="Z117" s="68" t="e">
        <f>ROUND($R117+(Teams!$H$2*($T117-$V117)),0)</f>
        <v>#N/A</v>
      </c>
      <c r="AA117" s="158" t="e">
        <f>ROUND($S117+(Teams!$H$2*($U117-$W117)),0)</f>
        <v>#N/A</v>
      </c>
    </row>
    <row r="118" spans="2:27" ht="12.75">
      <c r="B118" s="158">
        <v>6</v>
      </c>
      <c r="C118" s="216" t="s">
        <v>19</v>
      </c>
      <c r="D118" s="171">
        <v>18</v>
      </c>
      <c r="E118" s="175">
        <v>9</v>
      </c>
      <c r="F118" s="221" t="s">
        <v>112</v>
      </c>
      <c r="G118" s="151" t="str">
        <f>INDEX(Teams!$B$5:$H$45,MATCH(Results!$C118,Teams!$B$5:$B$45,0),3)</f>
        <v>Tiegemburg Park</v>
      </c>
      <c r="H118" s="151" t="str">
        <f>INDEX(Teams!$B$5:$H$45,MATCH(Results!$C118,Teams!$B$5:$B$45,0),5)</f>
        <v>Sequoia</v>
      </c>
      <c r="I118" s="152" t="str">
        <f>INDEX(Teams!$B$5:$H$45,MATCH(Results!$C118,Teams!$B$5:$B$45,0),6)</f>
        <v>ALZD</v>
      </c>
      <c r="J118" s="152" t="str">
        <f>INDEX(Teams!$B$5:$H$45,MATCH(Results!$F118,Teams!$B$5:$B$45,0),6)</f>
        <v>FHST</v>
      </c>
      <c r="K118" s="69" t="str">
        <f t="shared" si="11"/>
        <v>ALZDFHST</v>
      </c>
      <c r="L118" s="68" t="str">
        <f t="shared" si="12"/>
        <v>ALZD</v>
      </c>
      <c r="M118" s="68">
        <f t="shared" si="13"/>
        <v>1</v>
      </c>
      <c r="N118" s="68">
        <f t="shared" si="14"/>
        <v>9</v>
      </c>
      <c r="O118" s="68" t="str">
        <f t="shared" si="15"/>
        <v>Home</v>
      </c>
      <c r="P118" s="68" t="str">
        <f t="shared" si="16"/>
        <v>ALZD6</v>
      </c>
      <c r="Q118" s="68" t="str">
        <f t="shared" si="17"/>
        <v>FHST6</v>
      </c>
      <c r="R118" s="68">
        <f>INDEX(RankPoints!$B$4:$AK$19,$B118+1,MATCH(Results!$I118,RankPoints!$B$4:$AK$4,0))</f>
        <v>-3078</v>
      </c>
      <c r="S118" s="68">
        <f>INDEX(RankPoints!$B$4:$AK$19,$B118+1,MATCH(Results!$J118,RankPoints!$B$4:$AK$4,0))</f>
        <v>-3091</v>
      </c>
      <c r="T118" s="68">
        <f t="shared" si="18"/>
        <v>1</v>
      </c>
      <c r="U118" s="155">
        <f t="shared" si="19"/>
        <v>0</v>
      </c>
      <c r="V118" s="156">
        <f>1/(1+(10^($X118/'[1]Teams'!$F$3)))</f>
        <v>0.48130022207044143</v>
      </c>
      <c r="W118" s="157">
        <f>1/(1+(10^($Y118/'[1]Teams'!$F$3)))</f>
        <v>0.5186997779295586</v>
      </c>
      <c r="X118" s="68">
        <f t="shared" si="20"/>
        <v>13</v>
      </c>
      <c r="Y118" s="155">
        <f t="shared" si="21"/>
        <v>-13</v>
      </c>
      <c r="Z118" s="68">
        <f>ROUND($R118+(Teams!$H$2*($T118-$V118)),0)</f>
        <v>-3061</v>
      </c>
      <c r="AA118" s="158">
        <f>ROUND($S118+(Teams!$H$2*($U118-$W118)),0)</f>
        <v>-3108</v>
      </c>
    </row>
    <row r="119" spans="2:27" ht="12.75">
      <c r="B119" s="158">
        <v>6</v>
      </c>
      <c r="C119" s="216" t="s">
        <v>152</v>
      </c>
      <c r="D119" s="171">
        <v>13</v>
      </c>
      <c r="E119" s="175">
        <v>28</v>
      </c>
      <c r="F119" s="221" t="s">
        <v>110</v>
      </c>
      <c r="G119" s="151" t="str">
        <f>INDEX(Teams!$B$5:$H$45,MATCH(Results!$C119,Teams!$B$5:$B$45,0),3)</f>
        <v>Trent Community Park</v>
      </c>
      <c r="H119" s="151" t="str">
        <f>INDEX(Teams!$B$5:$H$45,MATCH(Results!$C119,Teams!$B$5:$B$45,0),5)</f>
        <v>Woodlands</v>
      </c>
      <c r="I119" s="152" t="str">
        <f>INDEX(Teams!$B$5:$H$45,MATCH(Results!$C119,Teams!$B$5:$B$45,0),6)</f>
        <v>WALT</v>
      </c>
      <c r="J119" s="152" t="str">
        <f>INDEX(Teams!$B$5:$H$45,MATCH(Results!$F119,Teams!$B$5:$B$45,0),6)</f>
        <v>UTCA</v>
      </c>
      <c r="K119" s="69" t="str">
        <f t="shared" si="11"/>
        <v>WALTUTCA</v>
      </c>
      <c r="L119" s="68" t="str">
        <f t="shared" si="12"/>
        <v>UTCA</v>
      </c>
      <c r="M119" s="68">
        <f t="shared" si="13"/>
        <v>1</v>
      </c>
      <c r="N119" s="68">
        <f t="shared" si="14"/>
        <v>15</v>
      </c>
      <c r="O119" s="68" t="str">
        <f t="shared" si="15"/>
        <v>Away</v>
      </c>
      <c r="P119" s="68" t="str">
        <f t="shared" si="16"/>
        <v>WALT6</v>
      </c>
      <c r="Q119" s="68" t="str">
        <f t="shared" si="17"/>
        <v>UTCA6</v>
      </c>
      <c r="R119" s="68" t="e">
        <f>INDEX(RankPoints!$B$4:$AK$19,$B119+1,MATCH(Results!$I119,RankPoints!$B$4:$AK$4,0))</f>
        <v>#N/A</v>
      </c>
      <c r="S119" s="68">
        <f>INDEX(RankPoints!$B$4:$AK$19,$B119+1,MATCH(Results!$J119,RankPoints!$B$4:$AK$4,0))</f>
        <v>326</v>
      </c>
      <c r="T119" s="68">
        <f t="shared" si="18"/>
        <v>0</v>
      </c>
      <c r="U119" s="155">
        <f t="shared" si="19"/>
        <v>1</v>
      </c>
      <c r="V119" s="156" t="e">
        <f>1/(1+(10^($X119/'[1]Teams'!$F$3)))</f>
        <v>#N/A</v>
      </c>
      <c r="W119" s="157" t="e">
        <f>1/(1+(10^($Y119/'[1]Teams'!$F$3)))</f>
        <v>#N/A</v>
      </c>
      <c r="X119" s="68" t="e">
        <f t="shared" si="20"/>
        <v>#N/A</v>
      </c>
      <c r="Y119" s="155" t="e">
        <f t="shared" si="21"/>
        <v>#N/A</v>
      </c>
      <c r="Z119" s="68" t="e">
        <f>ROUND($R119+(Teams!$H$2*($T119-$V119)),0)</f>
        <v>#N/A</v>
      </c>
      <c r="AA119" s="158" t="e">
        <f>ROUND($S119+(Teams!$H$2*($U119-$W119)),0)</f>
        <v>#N/A</v>
      </c>
    </row>
    <row r="120" spans="2:27" ht="12.75">
      <c r="B120" s="158">
        <v>6</v>
      </c>
      <c r="C120" s="216" t="s">
        <v>127</v>
      </c>
      <c r="D120" s="171">
        <v>7</v>
      </c>
      <c r="E120" s="175">
        <v>9</v>
      </c>
      <c r="F120" s="221" t="s">
        <v>125</v>
      </c>
      <c r="G120" s="151" t="str">
        <f>INDEX(Teams!$B$5:$H$45,MATCH(Results!$C120,Teams!$B$5:$B$45,0),3)</f>
        <v>Glenn Memorial Stadium</v>
      </c>
      <c r="H120" s="151" t="str">
        <f>INDEX(Teams!$B$5:$H$45,MATCH(Results!$C120,Teams!$B$5:$B$45,0),5)</f>
        <v>Woodlands</v>
      </c>
      <c r="I120" s="152" t="str">
        <f>INDEX(Teams!$B$5:$H$45,MATCH(Results!$C120,Teams!$B$5:$B$45,0),6)</f>
        <v>BUCK</v>
      </c>
      <c r="J120" s="152" t="str">
        <f>INDEX(Teams!$B$5:$H$45,MATCH(Results!$F120,Teams!$B$5:$B$45,0),6)</f>
        <v>JGZA</v>
      </c>
      <c r="K120" s="69" t="str">
        <f t="shared" si="11"/>
        <v>BUCKJGZA</v>
      </c>
      <c r="L120" s="68" t="str">
        <f t="shared" si="12"/>
        <v>JGZA</v>
      </c>
      <c r="M120" s="68">
        <f t="shared" si="13"/>
        <v>1</v>
      </c>
      <c r="N120" s="68">
        <f t="shared" si="14"/>
        <v>2</v>
      </c>
      <c r="O120" s="68" t="str">
        <f t="shared" si="15"/>
        <v>Away</v>
      </c>
      <c r="P120" s="68" t="str">
        <f t="shared" si="16"/>
        <v>BUCK6</v>
      </c>
      <c r="Q120" s="68" t="str">
        <f t="shared" si="17"/>
        <v>JGZA6</v>
      </c>
      <c r="R120" s="68" t="e">
        <f>INDEX(RankPoints!$B$4:$AK$19,$B120+1,MATCH(Results!$I120,RankPoints!$B$4:$AK$4,0))</f>
        <v>#N/A</v>
      </c>
      <c r="S120" s="68" t="e">
        <f>INDEX(RankPoints!$B$4:$AK$19,$B120+1,MATCH(Results!$J120,RankPoints!$B$4:$AK$4,0))</f>
        <v>#N/A</v>
      </c>
      <c r="T120" s="68">
        <f t="shared" si="18"/>
        <v>0</v>
      </c>
      <c r="U120" s="155">
        <f t="shared" si="19"/>
        <v>1</v>
      </c>
      <c r="V120" s="156" t="e">
        <f>1/(1+(10^($X120/'[1]Teams'!$F$3)))</f>
        <v>#N/A</v>
      </c>
      <c r="W120" s="157" t="e">
        <f>1/(1+(10^($Y120/'[1]Teams'!$F$3)))</f>
        <v>#N/A</v>
      </c>
      <c r="X120" s="68" t="e">
        <f t="shared" si="20"/>
        <v>#N/A</v>
      </c>
      <c r="Y120" s="155" t="e">
        <f t="shared" si="21"/>
        <v>#N/A</v>
      </c>
      <c r="Z120" s="68" t="e">
        <f>ROUND($R120+(Teams!$H$2*($T120-$V120)),0)</f>
        <v>#N/A</v>
      </c>
      <c r="AA120" s="158" t="e">
        <f>ROUND($S120+(Teams!$H$2*($U120-$W120)),0)</f>
        <v>#N/A</v>
      </c>
    </row>
    <row r="121" spans="2:27" ht="12.75">
      <c r="B121" s="158">
        <v>6</v>
      </c>
      <c r="C121" s="216" t="s">
        <v>78</v>
      </c>
      <c r="D121" s="171">
        <v>13</v>
      </c>
      <c r="E121" s="175">
        <v>7</v>
      </c>
      <c r="F121" s="221" t="s">
        <v>109</v>
      </c>
      <c r="G121" s="151" t="str">
        <f>INDEX(Teams!$B$5:$H$45,MATCH(Results!$C121,Teams!$B$5:$B$45,0),3)</f>
        <v>Red Plains Stadium</v>
      </c>
      <c r="H121" s="151" t="str">
        <f>INDEX(Teams!$B$5:$H$45,MATCH(Results!$C121,Teams!$B$5:$B$45,0),5)</f>
        <v>Woodlands</v>
      </c>
      <c r="I121" s="152" t="str">
        <f>INDEX(Teams!$B$5:$H$45,MATCH(Results!$C121,Teams!$B$5:$B$45,0),6)</f>
        <v>FRBB</v>
      </c>
      <c r="J121" s="152" t="str">
        <f>INDEX(Teams!$B$5:$H$45,MATCH(Results!$F121,Teams!$B$5:$B$45,0),6)</f>
        <v>ARKN</v>
      </c>
      <c r="K121" s="69" t="str">
        <f t="shared" si="11"/>
        <v>FRBBARKN</v>
      </c>
      <c r="L121" s="68" t="str">
        <f t="shared" si="12"/>
        <v>FRBB</v>
      </c>
      <c r="M121" s="68">
        <f t="shared" si="13"/>
        <v>1</v>
      </c>
      <c r="N121" s="68">
        <f t="shared" si="14"/>
        <v>6</v>
      </c>
      <c r="O121" s="68" t="str">
        <f t="shared" si="15"/>
        <v>Home</v>
      </c>
      <c r="P121" s="68" t="str">
        <f t="shared" si="16"/>
        <v>FRBB6</v>
      </c>
      <c r="Q121" s="68" t="str">
        <f t="shared" si="17"/>
        <v>ARKN6</v>
      </c>
      <c r="R121" s="68">
        <f>INDEX(RankPoints!$B$4:$AK$19,$B121+1,MATCH(Results!$I121,RankPoints!$B$4:$AK$4,0))</f>
        <v>351</v>
      </c>
      <c r="S121" s="68">
        <f>INDEX(RankPoints!$B$4:$AK$19,$B121+1,MATCH(Results!$J121,RankPoints!$B$4:$AK$4,0))</f>
        <v>1476</v>
      </c>
      <c r="T121" s="68">
        <f t="shared" si="18"/>
        <v>1</v>
      </c>
      <c r="U121" s="155">
        <f t="shared" si="19"/>
        <v>0</v>
      </c>
      <c r="V121" s="156">
        <f>1/(1+(10^($X121/'[1]Teams'!$F$3)))</f>
        <v>0.9984624412015197</v>
      </c>
      <c r="W121" s="157">
        <f>1/(1+(10^($Y121/'[1]Teams'!$F$3)))</f>
        <v>0.001537558798480335</v>
      </c>
      <c r="X121" s="68">
        <f t="shared" si="20"/>
        <v>-1125</v>
      </c>
      <c r="Y121" s="155">
        <f t="shared" si="21"/>
        <v>1125</v>
      </c>
      <c r="Z121" s="68">
        <f>ROUND($R121+(Teams!$H$2*($T121-$V121)),0)</f>
        <v>351</v>
      </c>
      <c r="AA121" s="158">
        <f>ROUND($S121+(Teams!$H$2*($U121-$W121)),0)</f>
        <v>1476</v>
      </c>
    </row>
    <row r="122" spans="2:27" ht="12.75">
      <c r="B122" s="158">
        <v>6</v>
      </c>
      <c r="C122" s="216" t="s">
        <v>255</v>
      </c>
      <c r="D122" s="171">
        <v>7</v>
      </c>
      <c r="E122" s="175">
        <v>30</v>
      </c>
      <c r="F122" s="221" t="s">
        <v>158</v>
      </c>
      <c r="G122" s="151" t="str">
        <f>INDEX(Teams!$B$5:$H$45,MATCH(Results!$C122,Teams!$B$5:$B$45,0),3)</f>
        <v>The Hawks Nest</v>
      </c>
      <c r="H122" s="151" t="str">
        <f>INDEX(Teams!$B$5:$H$45,MATCH(Results!$C122,Teams!$B$5:$B$45,0),5)</f>
        <v>Woodlands</v>
      </c>
      <c r="I122" s="152" t="str">
        <f>INDEX(Teams!$B$5:$H$45,MATCH(Results!$C122,Teams!$B$5:$B$45,0),6)</f>
        <v>HUDS</v>
      </c>
      <c r="J122" s="152" t="str">
        <f>INDEX(Teams!$B$5:$H$45,MATCH(Results!$F122,Teams!$B$5:$B$45,0),6)</f>
        <v>TOUF</v>
      </c>
      <c r="K122" s="69" t="str">
        <f t="shared" si="11"/>
        <v>HUDSTOUF</v>
      </c>
      <c r="L122" s="68" t="str">
        <f t="shared" si="12"/>
        <v>TOUF</v>
      </c>
      <c r="M122" s="68">
        <f t="shared" si="13"/>
        <v>1</v>
      </c>
      <c r="N122" s="68">
        <f t="shared" si="14"/>
        <v>23</v>
      </c>
      <c r="O122" s="68" t="str">
        <f t="shared" si="15"/>
        <v>Away</v>
      </c>
      <c r="P122" s="68" t="str">
        <f t="shared" si="16"/>
        <v>HUDS6</v>
      </c>
      <c r="Q122" s="68" t="str">
        <f t="shared" si="17"/>
        <v>TOUF6</v>
      </c>
      <c r="R122" s="68" t="e">
        <f>INDEX(RankPoints!$B$4:$AK$19,$B122+1,MATCH(Results!$I122,RankPoints!$B$4:$AK$4,0))</f>
        <v>#N/A</v>
      </c>
      <c r="S122" s="68" t="e">
        <f>INDEX(RankPoints!$B$4:$AK$19,$B122+1,MATCH(Results!$J122,RankPoints!$B$4:$AK$4,0))</f>
        <v>#N/A</v>
      </c>
      <c r="T122" s="68">
        <f t="shared" si="18"/>
        <v>0</v>
      </c>
      <c r="U122" s="155">
        <f t="shared" si="19"/>
        <v>1</v>
      </c>
      <c r="V122" s="156" t="e">
        <f>1/(1+(10^($X122/'[1]Teams'!$F$3)))</f>
        <v>#N/A</v>
      </c>
      <c r="W122" s="157" t="e">
        <f>1/(1+(10^($Y122/'[1]Teams'!$F$3)))</f>
        <v>#N/A</v>
      </c>
      <c r="X122" s="68" t="e">
        <f t="shared" si="20"/>
        <v>#N/A</v>
      </c>
      <c r="Y122" s="155" t="e">
        <f t="shared" si="21"/>
        <v>#N/A</v>
      </c>
      <c r="Z122" s="68" t="e">
        <f>ROUND($R122+(Teams!$H$2*($T122-$V122)),0)</f>
        <v>#N/A</v>
      </c>
      <c r="AA122" s="158" t="e">
        <f>ROUND($S122+(Teams!$H$2*($U122-$W122)),0)</f>
        <v>#N/A</v>
      </c>
    </row>
    <row r="123" spans="2:27" ht="12.75">
      <c r="B123" s="158">
        <v>7</v>
      </c>
      <c r="C123" s="216" t="s">
        <v>77</v>
      </c>
      <c r="D123" s="171">
        <v>16</v>
      </c>
      <c r="E123" s="175">
        <v>0</v>
      </c>
      <c r="F123" s="221" t="s">
        <v>271</v>
      </c>
      <c r="G123" s="151" t="str">
        <f>INDEX(Teams!$B$5:$H$45,MATCH(Results!$C123,Teams!$B$5:$B$45,0),3)</f>
        <v>Montbenoit Dome</v>
      </c>
      <c r="H123" s="151" t="str">
        <f>INDEX(Teams!$B$5:$H$45,MATCH(Results!$C123,Teams!$B$5:$B$45,0),5)</f>
        <v>Big Eight</v>
      </c>
      <c r="I123" s="152" t="str">
        <f>INDEX(Teams!$B$5:$H$45,MATCH(Results!$C123,Teams!$B$5:$B$45,0),6)</f>
        <v>SAUG</v>
      </c>
      <c r="J123" s="152" t="str">
        <f>INDEX(Teams!$B$5:$H$45,MATCH(Results!$F123,Teams!$B$5:$B$45,0),6)</f>
        <v>WAA</v>
      </c>
      <c r="K123" s="69" t="str">
        <f t="shared" si="11"/>
        <v>SAUGWAA</v>
      </c>
      <c r="L123" s="68" t="str">
        <f t="shared" si="12"/>
        <v>SAUG</v>
      </c>
      <c r="M123" s="68">
        <f t="shared" si="13"/>
        <v>1</v>
      </c>
      <c r="N123" s="68">
        <f t="shared" si="14"/>
        <v>16</v>
      </c>
      <c r="O123" s="68" t="str">
        <f t="shared" si="15"/>
        <v>Home</v>
      </c>
      <c r="P123" s="68" t="str">
        <f t="shared" si="16"/>
        <v>SAUG7</v>
      </c>
      <c r="Q123" s="68" t="str">
        <f t="shared" si="17"/>
        <v>WAA7</v>
      </c>
      <c r="R123" s="68">
        <f>INDEX(RankPoints!$B$4:$AK$19,$B123+1,MATCH(Results!$I123,RankPoints!$B$4:$AK$4,0))</f>
        <v>1651</v>
      </c>
      <c r="S123" s="68" t="e">
        <f>INDEX(RankPoints!$B$4:$AK$19,$B123+1,MATCH(Results!$J123,RankPoints!$B$4:$AK$4,0))</f>
        <v>#N/A</v>
      </c>
      <c r="T123" s="68">
        <f t="shared" si="18"/>
        <v>1</v>
      </c>
      <c r="U123" s="155">
        <f t="shared" si="19"/>
        <v>0</v>
      </c>
      <c r="V123" s="156" t="e">
        <f>1/(1+(10^($X123/'[1]Teams'!$F$3)))</f>
        <v>#N/A</v>
      </c>
      <c r="W123" s="157" t="e">
        <f>1/(1+(10^($Y123/'[1]Teams'!$F$3)))</f>
        <v>#N/A</v>
      </c>
      <c r="X123" s="68" t="e">
        <f t="shared" si="20"/>
        <v>#N/A</v>
      </c>
      <c r="Y123" s="155" t="e">
        <f t="shared" si="21"/>
        <v>#N/A</v>
      </c>
      <c r="Z123" s="68" t="e">
        <f>ROUND($R123+(Teams!$H$2*($T123-$V123)),0)</f>
        <v>#N/A</v>
      </c>
      <c r="AA123" s="158" t="e">
        <f>ROUND($S123+(Teams!$H$2*($U123-$W123)),0)</f>
        <v>#N/A</v>
      </c>
    </row>
    <row r="124" spans="2:27" ht="12.75">
      <c r="B124" s="158">
        <v>7</v>
      </c>
      <c r="C124" s="216" t="s">
        <v>76</v>
      </c>
      <c r="D124" s="171">
        <v>43</v>
      </c>
      <c r="E124" s="175">
        <v>0</v>
      </c>
      <c r="F124" s="221" t="s">
        <v>148</v>
      </c>
      <c r="G124" s="151" t="str">
        <f>INDEX(Teams!$B$5:$H$45,MATCH(Results!$C124,Teams!$B$5:$B$45,0),3)</f>
        <v>Bronco Stadium</v>
      </c>
      <c r="H124" s="151" t="str">
        <f>INDEX(Teams!$B$5:$H$45,MATCH(Results!$C124,Teams!$B$5:$B$45,0),5)</f>
        <v>Big Eight</v>
      </c>
      <c r="I124" s="152" t="str">
        <f>INDEX(Teams!$B$5:$H$45,MATCH(Results!$C124,Teams!$B$5:$B$45,0),6)</f>
        <v>SCTT</v>
      </c>
      <c r="J124" s="152" t="str">
        <f>INDEX(Teams!$B$5:$H$45,MATCH(Results!$F124,Teams!$B$5:$B$45,0),6)</f>
        <v>RELK</v>
      </c>
      <c r="K124" s="69" t="str">
        <f t="shared" si="11"/>
        <v>SCTTRELK</v>
      </c>
      <c r="L124" s="68" t="str">
        <f t="shared" si="12"/>
        <v>SCTT</v>
      </c>
      <c r="M124" s="68">
        <f t="shared" si="13"/>
        <v>1</v>
      </c>
      <c r="N124" s="68">
        <f t="shared" si="14"/>
        <v>43</v>
      </c>
      <c r="O124" s="68" t="str">
        <f t="shared" si="15"/>
        <v>Home</v>
      </c>
      <c r="P124" s="68" t="str">
        <f t="shared" si="16"/>
        <v>SCTT7</v>
      </c>
      <c r="Q124" s="68" t="str">
        <f t="shared" si="17"/>
        <v>RELK7</v>
      </c>
      <c r="R124" s="68">
        <f>INDEX(RankPoints!$B$4:$AK$19,$B124+1,MATCH(Results!$I124,RankPoints!$B$4:$AK$4,0))</f>
        <v>0</v>
      </c>
      <c r="S124" s="68" t="e">
        <f>INDEX(RankPoints!$B$4:$AK$19,$B124+1,MATCH(Results!$J124,RankPoints!$B$4:$AK$4,0))</f>
        <v>#N/A</v>
      </c>
      <c r="T124" s="68">
        <f t="shared" si="18"/>
        <v>1</v>
      </c>
      <c r="U124" s="155">
        <f t="shared" si="19"/>
        <v>0</v>
      </c>
      <c r="V124" s="156" t="e">
        <f>1/(1+(10^($X124/'[1]Teams'!$F$3)))</f>
        <v>#N/A</v>
      </c>
      <c r="W124" s="157" t="e">
        <f>1/(1+(10^($Y124/'[1]Teams'!$F$3)))</f>
        <v>#N/A</v>
      </c>
      <c r="X124" s="68" t="e">
        <f t="shared" si="20"/>
        <v>#N/A</v>
      </c>
      <c r="Y124" s="155" t="e">
        <f t="shared" si="21"/>
        <v>#N/A</v>
      </c>
      <c r="Z124" s="68" t="e">
        <f>ROUND($R124+(Teams!$H$2*($T124-$V124)),0)</f>
        <v>#N/A</v>
      </c>
      <c r="AA124" s="158" t="e">
        <f>ROUND($S124+(Teams!$H$2*($U124-$W124)),0)</f>
        <v>#N/A</v>
      </c>
    </row>
    <row r="125" spans="2:27" ht="12.75">
      <c r="B125" s="158">
        <v>7</v>
      </c>
      <c r="C125" s="216" t="s">
        <v>124</v>
      </c>
      <c r="D125" s="171">
        <v>10</v>
      </c>
      <c r="E125" s="175">
        <v>27</v>
      </c>
      <c r="F125" s="221" t="s">
        <v>270</v>
      </c>
      <c r="G125" s="151" t="str">
        <f>INDEX(Teams!$B$5:$H$45,MATCH(Results!$C125,Teams!$B$5:$B$45,0),3)</f>
        <v>Bear Stadium</v>
      </c>
      <c r="H125" s="151" t="str">
        <f>INDEX(Teams!$B$5:$H$45,MATCH(Results!$C125,Teams!$B$5:$B$45,0),5)</f>
        <v>Big Eight</v>
      </c>
      <c r="I125" s="152" t="str">
        <f>INDEX(Teams!$B$5:$H$45,MATCH(Results!$C125,Teams!$B$5:$B$45,0),6)</f>
        <v>TIMC</v>
      </c>
      <c r="J125" s="152" t="str">
        <f>INDEX(Teams!$B$5:$H$45,MATCH(Results!$F125,Teams!$B$5:$B$45,0),6)</f>
        <v>BUGN</v>
      </c>
      <c r="K125" s="69" t="str">
        <f t="shared" si="11"/>
        <v>TIMCBUGN</v>
      </c>
      <c r="L125" s="68" t="str">
        <f t="shared" si="12"/>
        <v>BUGN</v>
      </c>
      <c r="M125" s="68">
        <f t="shared" si="13"/>
        <v>1</v>
      </c>
      <c r="N125" s="68">
        <f t="shared" si="14"/>
        <v>17</v>
      </c>
      <c r="O125" s="68" t="str">
        <f t="shared" si="15"/>
        <v>Away</v>
      </c>
      <c r="P125" s="68" t="str">
        <f t="shared" si="16"/>
        <v>TIMC7</v>
      </c>
      <c r="Q125" s="68" t="str">
        <f t="shared" si="17"/>
        <v>BUGN7</v>
      </c>
      <c r="R125" s="68" t="e">
        <f>INDEX(RankPoints!$B$4:$AK$19,$B125+1,MATCH(Results!$I125,RankPoints!$B$4:$AK$4,0))</f>
        <v>#N/A</v>
      </c>
      <c r="S125" s="68">
        <f>INDEX(RankPoints!$B$4:$AK$19,$B125+1,MATCH(Results!$J125,RankPoints!$B$4:$AK$4,0))</f>
        <v>1516</v>
      </c>
      <c r="T125" s="68">
        <f t="shared" si="18"/>
        <v>0</v>
      </c>
      <c r="U125" s="155">
        <f t="shared" si="19"/>
        <v>1</v>
      </c>
      <c r="V125" s="156" t="e">
        <f>1/(1+(10^($X125/'[1]Teams'!$F$3)))</f>
        <v>#N/A</v>
      </c>
      <c r="W125" s="157" t="e">
        <f>1/(1+(10^($Y125/'[1]Teams'!$F$3)))</f>
        <v>#N/A</v>
      </c>
      <c r="X125" s="68" t="e">
        <f t="shared" si="20"/>
        <v>#N/A</v>
      </c>
      <c r="Y125" s="155" t="e">
        <f t="shared" si="21"/>
        <v>#N/A</v>
      </c>
      <c r="Z125" s="68" t="e">
        <f>ROUND($R125+(Teams!$H$2*($T125-$V125)),0)</f>
        <v>#N/A</v>
      </c>
      <c r="AA125" s="158" t="e">
        <f>ROUND($S125+(Teams!$H$2*($U125-$W125)),0)</f>
        <v>#N/A</v>
      </c>
    </row>
    <row r="126" spans="2:27" ht="12.75">
      <c r="B126" s="158">
        <v>7</v>
      </c>
      <c r="C126" s="216" t="s">
        <v>154</v>
      </c>
      <c r="D126" s="171">
        <v>0</v>
      </c>
      <c r="E126" s="175">
        <v>34</v>
      </c>
      <c r="F126" s="221" t="s">
        <v>144</v>
      </c>
      <c r="G126" s="151" t="str">
        <f>INDEX(Teams!$B$5:$H$45,MATCH(Results!$C126,Teams!$B$5:$B$45,0),3)</f>
        <v>Nobel Stadium</v>
      </c>
      <c r="H126" s="151" t="str">
        <f>INDEX(Teams!$B$5:$H$45,MATCH(Results!$C126,Teams!$B$5:$B$45,0),5)</f>
        <v>Big Eight</v>
      </c>
      <c r="I126" s="152" t="str">
        <f>INDEX(Teams!$B$5:$H$45,MATCH(Results!$C126,Teams!$B$5:$B$45,0),6)</f>
        <v>NOBL</v>
      </c>
      <c r="J126" s="152" t="str">
        <f>INDEX(Teams!$B$5:$H$45,MATCH(Results!$F126,Teams!$B$5:$B$45,0),6)</f>
        <v>ARLN</v>
      </c>
      <c r="K126" s="69" t="str">
        <f t="shared" si="11"/>
        <v>NOBLARLN</v>
      </c>
      <c r="L126" s="68" t="str">
        <f t="shared" si="12"/>
        <v>ARLN</v>
      </c>
      <c r="M126" s="68">
        <f t="shared" si="13"/>
        <v>1</v>
      </c>
      <c r="N126" s="68">
        <f t="shared" si="14"/>
        <v>34</v>
      </c>
      <c r="O126" s="68" t="str">
        <f t="shared" si="15"/>
        <v>Away</v>
      </c>
      <c r="P126" s="68" t="str">
        <f t="shared" si="16"/>
        <v>NOBL7</v>
      </c>
      <c r="Q126" s="68" t="str">
        <f t="shared" si="17"/>
        <v>ARLN7</v>
      </c>
      <c r="R126" s="68" t="e">
        <f>INDEX(RankPoints!$B$4:$AK$19,$B126+1,MATCH(Results!$I126,RankPoints!$B$4:$AK$4,0))</f>
        <v>#N/A</v>
      </c>
      <c r="S126" s="68" t="e">
        <f>INDEX(RankPoints!$B$4:$AK$19,$B126+1,MATCH(Results!$J126,RankPoints!$B$4:$AK$4,0))</f>
        <v>#N/A</v>
      </c>
      <c r="T126" s="68">
        <f t="shared" si="18"/>
        <v>0</v>
      </c>
      <c r="U126" s="155">
        <f t="shared" si="19"/>
        <v>1</v>
      </c>
      <c r="V126" s="156" t="e">
        <f>1/(1+(10^($X126/'[1]Teams'!$F$3)))</f>
        <v>#N/A</v>
      </c>
      <c r="W126" s="157" t="e">
        <f>1/(1+(10^($Y126/'[1]Teams'!$F$3)))</f>
        <v>#N/A</v>
      </c>
      <c r="X126" s="68" t="e">
        <f t="shared" si="20"/>
        <v>#N/A</v>
      </c>
      <c r="Y126" s="155" t="e">
        <f t="shared" si="21"/>
        <v>#N/A</v>
      </c>
      <c r="Z126" s="68" t="e">
        <f>ROUND($R126+(Teams!$H$2*($T126-$V126)),0)</f>
        <v>#N/A</v>
      </c>
      <c r="AA126" s="158" t="e">
        <f>ROUND($S126+(Teams!$H$2*($U126-$W126)),0)</f>
        <v>#N/A</v>
      </c>
    </row>
    <row r="127" spans="2:27" ht="12.75">
      <c r="B127" s="158">
        <v>7</v>
      </c>
      <c r="C127" s="216" t="s">
        <v>21</v>
      </c>
      <c r="D127" s="171">
        <v>7</v>
      </c>
      <c r="E127" s="175">
        <v>17</v>
      </c>
      <c r="F127" s="221" t="s">
        <v>248</v>
      </c>
      <c r="G127" s="151" t="str">
        <f>INDEX(Teams!$B$5:$H$45,MATCH(Results!$C127,Teams!$B$5:$B$45,0),3)</f>
        <v>Finglass Field</v>
      </c>
      <c r="H127" s="151" t="str">
        <f>INDEX(Teams!$B$5:$H$45,MATCH(Results!$C127,Teams!$B$5:$B$45,0),5)</f>
        <v>Horizon</v>
      </c>
      <c r="I127" s="152" t="str">
        <f>INDEX(Teams!$B$5:$H$45,MATCH(Results!$C127,Teams!$B$5:$B$45,0),6)</f>
        <v>STON</v>
      </c>
      <c r="J127" s="152" t="str">
        <f>INDEX(Teams!$B$5:$H$45,MATCH(Results!$F127,Teams!$B$5:$B$45,0),6)</f>
        <v>COLD</v>
      </c>
      <c r="K127" s="69" t="str">
        <f t="shared" si="11"/>
        <v>STONCOLD</v>
      </c>
      <c r="L127" s="68" t="str">
        <f t="shared" si="12"/>
        <v>COLD</v>
      </c>
      <c r="M127" s="68">
        <f t="shared" si="13"/>
        <v>1</v>
      </c>
      <c r="N127" s="68">
        <f t="shared" si="14"/>
        <v>10</v>
      </c>
      <c r="O127" s="68" t="str">
        <f t="shared" si="15"/>
        <v>Away</v>
      </c>
      <c r="P127" s="68" t="str">
        <f t="shared" si="16"/>
        <v>STON7</v>
      </c>
      <c r="Q127" s="68" t="str">
        <f t="shared" si="17"/>
        <v>COLD7</v>
      </c>
      <c r="R127" s="68">
        <f>INDEX(RankPoints!$B$4:$AK$19,$B127+1,MATCH(Results!$I127,RankPoints!$B$4:$AK$4,0))</f>
        <v>-1223</v>
      </c>
      <c r="S127" s="68">
        <f>INDEX(RankPoints!$B$4:$AK$19,$B127+1,MATCH(Results!$J127,RankPoints!$B$4:$AK$4,0))</f>
        <v>1627</v>
      </c>
      <c r="T127" s="68">
        <f t="shared" si="18"/>
        <v>0</v>
      </c>
      <c r="U127" s="155">
        <f t="shared" si="19"/>
        <v>1</v>
      </c>
      <c r="V127" s="156">
        <f>1/(1+(10^($X127/'[1]Teams'!$F$3)))</f>
        <v>0.9999999250105848</v>
      </c>
      <c r="W127" s="157">
        <f>1/(1+(10^($Y127/'[1]Teams'!$F$3)))</f>
        <v>7.498941530983254E-08</v>
      </c>
      <c r="X127" s="68">
        <f t="shared" si="20"/>
        <v>-2850</v>
      </c>
      <c r="Y127" s="155">
        <f t="shared" si="21"/>
        <v>2850</v>
      </c>
      <c r="Z127" s="68">
        <f>ROUND($R127+(Teams!$H$2*($T127-$V127)),0)</f>
        <v>-1255</v>
      </c>
      <c r="AA127" s="158">
        <f>ROUND($S127+(Teams!$H$2*($U127-$W127)),0)</f>
        <v>1659</v>
      </c>
    </row>
    <row r="128" spans="2:27" ht="12.75">
      <c r="B128" s="158">
        <v>7</v>
      </c>
      <c r="C128" s="216" t="s">
        <v>151</v>
      </c>
      <c r="D128" s="171">
        <v>13</v>
      </c>
      <c r="E128" s="175">
        <v>6</v>
      </c>
      <c r="F128" s="221" t="s">
        <v>153</v>
      </c>
      <c r="G128" s="151" t="str">
        <f>INDEX(Teams!$B$5:$H$45,MATCH(Results!$C128,Teams!$B$5:$B$45,0),3)</f>
        <v>Olympic Stadiums</v>
      </c>
      <c r="H128" s="151" t="str">
        <f>INDEX(Teams!$B$5:$H$45,MATCH(Results!$C128,Teams!$B$5:$B$45,0),5)</f>
        <v>Horizon</v>
      </c>
      <c r="I128" s="152" t="str">
        <f>INDEX(Teams!$B$5:$H$45,MATCH(Results!$C128,Teams!$B$5:$B$45,0),6)</f>
        <v>OLYM</v>
      </c>
      <c r="J128" s="152" t="str">
        <f>INDEX(Teams!$B$5:$H$45,MATCH(Results!$F128,Teams!$B$5:$B$45,0),6)</f>
        <v>RSTU</v>
      </c>
      <c r="K128" s="69" t="str">
        <f t="shared" si="11"/>
        <v>OLYMRSTU</v>
      </c>
      <c r="L128" s="68" t="str">
        <f t="shared" si="12"/>
        <v>OLYM</v>
      </c>
      <c r="M128" s="68">
        <f t="shared" si="13"/>
        <v>1</v>
      </c>
      <c r="N128" s="68">
        <f t="shared" si="14"/>
        <v>7</v>
      </c>
      <c r="O128" s="68" t="str">
        <f t="shared" si="15"/>
        <v>Home</v>
      </c>
      <c r="P128" s="68" t="str">
        <f t="shared" si="16"/>
        <v>OLYM7</v>
      </c>
      <c r="Q128" s="68" t="str">
        <f t="shared" si="17"/>
        <v>RSTU7</v>
      </c>
      <c r="R128" s="68" t="e">
        <f>INDEX(RankPoints!$B$4:$AK$19,$B128+1,MATCH(Results!$I128,RankPoints!$B$4:$AK$4,0))</f>
        <v>#N/A</v>
      </c>
      <c r="S128" s="68" t="e">
        <f>INDEX(RankPoints!$B$4:$AK$19,$B128+1,MATCH(Results!$J128,RankPoints!$B$4:$AK$4,0))</f>
        <v>#N/A</v>
      </c>
      <c r="T128" s="68">
        <f t="shared" si="18"/>
        <v>1</v>
      </c>
      <c r="U128" s="155">
        <f t="shared" si="19"/>
        <v>0</v>
      </c>
      <c r="V128" s="156" t="e">
        <f>1/(1+(10^($X128/'[1]Teams'!$F$3)))</f>
        <v>#N/A</v>
      </c>
      <c r="W128" s="157" t="e">
        <f>1/(1+(10^($Y128/'[1]Teams'!$F$3)))</f>
        <v>#N/A</v>
      </c>
      <c r="X128" s="68" t="e">
        <f t="shared" si="20"/>
        <v>#N/A</v>
      </c>
      <c r="Y128" s="155" t="e">
        <f t="shared" si="21"/>
        <v>#N/A</v>
      </c>
      <c r="Z128" s="68" t="e">
        <f>ROUND($R128+(Teams!$H$2*($T128-$V128)),0)</f>
        <v>#N/A</v>
      </c>
      <c r="AA128" s="158" t="e">
        <f>ROUND($S128+(Teams!$H$2*($U128-$W128)),0)</f>
        <v>#N/A</v>
      </c>
    </row>
    <row r="129" spans="2:27" ht="12.75">
      <c r="B129" s="158">
        <v>7</v>
      </c>
      <c r="C129" s="216" t="s">
        <v>149</v>
      </c>
      <c r="D129" s="171">
        <v>6</v>
      </c>
      <c r="E129" s="175">
        <v>13</v>
      </c>
      <c r="F129" s="221" t="s">
        <v>20</v>
      </c>
      <c r="G129" s="151" t="str">
        <f>INDEX(Teams!$B$5:$H$45,MATCH(Results!$C129,Teams!$B$5:$B$45,0),3)</f>
        <v>The Field of Industry</v>
      </c>
      <c r="H129" s="151" t="str">
        <f>INDEX(Teams!$B$5:$H$45,MATCH(Results!$C129,Teams!$B$5:$B$45,0),5)</f>
        <v>Horizon</v>
      </c>
      <c r="I129" s="152" t="str">
        <f>INDEX(Teams!$B$5:$H$45,MATCH(Results!$C129,Teams!$B$5:$B$45,0),6)</f>
        <v>USPN</v>
      </c>
      <c r="J129" s="152" t="str">
        <f>INDEX(Teams!$B$5:$H$45,MATCH(Results!$F129,Teams!$B$5:$B$45,0),6)</f>
        <v>RCU</v>
      </c>
      <c r="K129" s="69" t="str">
        <f t="shared" si="11"/>
        <v>USPNRCU</v>
      </c>
      <c r="L129" s="68" t="str">
        <f t="shared" si="12"/>
        <v>RCU</v>
      </c>
      <c r="M129" s="68">
        <f t="shared" si="13"/>
        <v>1</v>
      </c>
      <c r="N129" s="68">
        <f t="shared" si="14"/>
        <v>7</v>
      </c>
      <c r="O129" s="68" t="str">
        <f t="shared" si="15"/>
        <v>Away</v>
      </c>
      <c r="P129" s="68" t="str">
        <f t="shared" si="16"/>
        <v>USPN7</v>
      </c>
      <c r="Q129" s="68" t="str">
        <f t="shared" si="17"/>
        <v>RCU7</v>
      </c>
      <c r="R129" s="68" t="e">
        <f>INDEX(RankPoints!$B$4:$AK$19,$B129+1,MATCH(Results!$I129,RankPoints!$B$4:$AK$4,0))</f>
        <v>#N/A</v>
      </c>
      <c r="S129" s="68">
        <f>INDEX(RankPoints!$B$4:$AK$19,$B129+1,MATCH(Results!$J129,RankPoints!$B$4:$AK$4,0))</f>
        <v>1380</v>
      </c>
      <c r="T129" s="68">
        <f t="shared" si="18"/>
        <v>0</v>
      </c>
      <c r="U129" s="155">
        <f t="shared" si="19"/>
        <v>1</v>
      </c>
      <c r="V129" s="156" t="e">
        <f>1/(1+(10^($X129/'[1]Teams'!$F$3)))</f>
        <v>#N/A</v>
      </c>
      <c r="W129" s="157" t="e">
        <f>1/(1+(10^($Y129/'[1]Teams'!$F$3)))</f>
        <v>#N/A</v>
      </c>
      <c r="X129" s="68" t="e">
        <f t="shared" si="20"/>
        <v>#N/A</v>
      </c>
      <c r="Y129" s="155" t="e">
        <f t="shared" si="21"/>
        <v>#N/A</v>
      </c>
      <c r="Z129" s="68" t="e">
        <f>ROUND($R129+(Teams!$H$2*($T129-$V129)),0)</f>
        <v>#N/A</v>
      </c>
      <c r="AA129" s="158" t="e">
        <f>ROUND($S129+(Teams!$H$2*($U129-$W129)),0)</f>
        <v>#N/A</v>
      </c>
    </row>
    <row r="130" spans="2:27" ht="12.75">
      <c r="B130" s="158">
        <v>7</v>
      </c>
      <c r="C130" s="216" t="s">
        <v>157</v>
      </c>
      <c r="D130" s="171">
        <v>6</v>
      </c>
      <c r="E130" s="175">
        <v>17</v>
      </c>
      <c r="F130" s="221" t="s">
        <v>145</v>
      </c>
      <c r="G130" s="151" t="str">
        <f>INDEX(Teams!$B$5:$H$45,MATCH(Results!$C130,Teams!$B$5:$B$45,0),3)</f>
        <v>Badger Stadium</v>
      </c>
      <c r="H130" s="151" t="str">
        <f>INDEX(Teams!$B$5:$H$45,MATCH(Results!$C130,Teams!$B$5:$B$45,0),5)</f>
        <v>Horizon</v>
      </c>
      <c r="I130" s="152" t="str">
        <f>INDEX(Teams!$B$5:$H$45,MATCH(Results!$C130,Teams!$B$5:$B$45,0),6)</f>
        <v>WIEN</v>
      </c>
      <c r="J130" s="152" t="str">
        <f>INDEX(Teams!$B$5:$H$45,MATCH(Results!$F130,Teams!$B$5:$B$45,0),6)</f>
        <v>INDN</v>
      </c>
      <c r="K130" s="69" t="str">
        <f t="shared" si="11"/>
        <v>WIENINDN</v>
      </c>
      <c r="L130" s="68" t="str">
        <f t="shared" si="12"/>
        <v>INDN</v>
      </c>
      <c r="M130" s="68">
        <f t="shared" si="13"/>
        <v>1</v>
      </c>
      <c r="N130" s="68">
        <f t="shared" si="14"/>
        <v>11</v>
      </c>
      <c r="O130" s="68" t="str">
        <f t="shared" si="15"/>
        <v>Away</v>
      </c>
      <c r="P130" s="68" t="str">
        <f t="shared" si="16"/>
        <v>WIEN7</v>
      </c>
      <c r="Q130" s="68" t="str">
        <f t="shared" si="17"/>
        <v>INDN7</v>
      </c>
      <c r="R130" s="68" t="e">
        <f>INDEX(RankPoints!$B$4:$AK$19,$B130+1,MATCH(Results!$I130,RankPoints!$B$4:$AK$4,0))</f>
        <v>#N/A</v>
      </c>
      <c r="S130" s="68" t="e">
        <f>INDEX(RankPoints!$B$4:$AK$19,$B130+1,MATCH(Results!$J130,RankPoints!$B$4:$AK$4,0))</f>
        <v>#N/A</v>
      </c>
      <c r="T130" s="68">
        <f t="shared" si="18"/>
        <v>0</v>
      </c>
      <c r="U130" s="155">
        <f t="shared" si="19"/>
        <v>1</v>
      </c>
      <c r="V130" s="156" t="e">
        <f>1/(1+(10^($X130/'[1]Teams'!$F$3)))</f>
        <v>#N/A</v>
      </c>
      <c r="W130" s="157" t="e">
        <f>1/(1+(10^($Y130/'[1]Teams'!$F$3)))</f>
        <v>#N/A</v>
      </c>
      <c r="X130" s="68" t="e">
        <f t="shared" si="20"/>
        <v>#N/A</v>
      </c>
      <c r="Y130" s="155" t="e">
        <f t="shared" si="21"/>
        <v>#N/A</v>
      </c>
      <c r="Z130" s="68" t="e">
        <f>ROUND($R130+(Teams!$H$2*($T130-$V130)),0)</f>
        <v>#N/A</v>
      </c>
      <c r="AA130" s="158" t="e">
        <f>ROUND($S130+(Teams!$H$2*($U130-$W130)),0)</f>
        <v>#N/A</v>
      </c>
    </row>
    <row r="131" spans="2:27" ht="12.75">
      <c r="B131" s="158">
        <v>7</v>
      </c>
      <c r="C131" s="216" t="s">
        <v>266</v>
      </c>
      <c r="D131" s="171">
        <v>9</v>
      </c>
      <c r="E131" s="175">
        <v>7</v>
      </c>
      <c r="F131" s="221" t="s">
        <v>121</v>
      </c>
      <c r="G131" s="151" t="str">
        <f>INDEX(Teams!$B$5:$H$45,MATCH(Results!$C131,Teams!$B$5:$B$45,0),3)</f>
        <v>ATD Park</v>
      </c>
      <c r="H131" s="151" t="str">
        <f>INDEX(Teams!$B$5:$H$45,MATCH(Results!$C131,Teams!$B$5:$B$45,0),5)</f>
        <v>Mineral</v>
      </c>
      <c r="I131" s="152" t="str">
        <f>INDEX(Teams!$B$5:$H$45,MATCH(Results!$C131,Teams!$B$5:$B$45,0),6)</f>
        <v>UPSL</v>
      </c>
      <c r="J131" s="152" t="str">
        <f>INDEX(Teams!$B$5:$H$45,MATCH(Results!$F131,Teams!$B$5:$B$45,0),6)</f>
        <v>CRGA</v>
      </c>
      <c r="K131" s="69" t="str">
        <f aca="true" t="shared" si="22" ref="K131:K194">I131&amp;J131</f>
        <v>UPSLCRGA</v>
      </c>
      <c r="L131" s="68" t="str">
        <f aca="true" t="shared" si="23" ref="L131:L194">IF(M131=0,"",IF(D131&gt;E131,I131,J131))</f>
        <v>UPSL</v>
      </c>
      <c r="M131" s="68">
        <f aca="true" t="shared" si="24" ref="M131:M194">IF(OR(D131="",E131=""),0,1)</f>
        <v>1</v>
      </c>
      <c r="N131" s="68">
        <f aca="true" t="shared" si="25" ref="N131:N194">ABS(D131-E131)</f>
        <v>2</v>
      </c>
      <c r="O131" s="68" t="str">
        <f aca="true" t="shared" si="26" ref="O131:O194">IF(L131="","",IF(L131=I131,"Home","Away"))</f>
        <v>Home</v>
      </c>
      <c r="P131" s="68" t="str">
        <f aca="true" t="shared" si="27" ref="P131:P194">$I131&amp;$B131</f>
        <v>UPSL7</v>
      </c>
      <c r="Q131" s="68" t="str">
        <f aca="true" t="shared" si="28" ref="Q131:Q194">$J131&amp;$B131</f>
        <v>CRGA7</v>
      </c>
      <c r="R131" s="68">
        <f>INDEX(RankPoints!$B$4:$AK$19,$B131+1,MATCH(Results!$I131,RankPoints!$B$4:$AK$4,0))</f>
        <v>0</v>
      </c>
      <c r="S131" s="68" t="e">
        <f>INDEX(RankPoints!$B$4:$AK$19,$B131+1,MATCH(Results!$J131,RankPoints!$B$4:$AK$4,0))</f>
        <v>#N/A</v>
      </c>
      <c r="T131" s="68">
        <f aca="true" t="shared" si="29" ref="T131:T194">IF($O131="Home",1,0)</f>
        <v>1</v>
      </c>
      <c r="U131" s="155">
        <f aca="true" t="shared" si="30" ref="U131:U194">IF($O131="Away",1,0)</f>
        <v>0</v>
      </c>
      <c r="V131" s="156" t="e">
        <f>1/(1+(10^($X131/'[1]Teams'!$F$3)))</f>
        <v>#N/A</v>
      </c>
      <c r="W131" s="157" t="e">
        <f>1/(1+(10^($Y131/'[1]Teams'!$F$3)))</f>
        <v>#N/A</v>
      </c>
      <c r="X131" s="68" t="e">
        <f aca="true" t="shared" si="31" ref="X131:X194">$R131-$S131</f>
        <v>#N/A</v>
      </c>
      <c r="Y131" s="155" t="e">
        <f aca="true" t="shared" si="32" ref="Y131:Y194">$S131-$R131</f>
        <v>#N/A</v>
      </c>
      <c r="Z131" s="68" t="e">
        <f>ROUND($R131+(Teams!$H$2*($T131-$V131)),0)</f>
        <v>#N/A</v>
      </c>
      <c r="AA131" s="158" t="e">
        <f>ROUND($S131+(Teams!$H$2*($U131-$W131)),0)</f>
        <v>#N/A</v>
      </c>
    </row>
    <row r="132" spans="2:27" ht="12.75">
      <c r="B132" s="158">
        <v>7</v>
      </c>
      <c r="C132" s="216" t="s">
        <v>251</v>
      </c>
      <c r="D132" s="171">
        <v>20</v>
      </c>
      <c r="E132" s="175">
        <v>17</v>
      </c>
      <c r="F132" s="221" t="s">
        <v>150</v>
      </c>
      <c r="G132" s="151" t="str">
        <f>INDEX(Teams!$B$5:$H$45,MATCH(Results!$C132,Teams!$B$5:$B$45,0),3)</f>
        <v>The Nest of Fire</v>
      </c>
      <c r="H132" s="151" t="str">
        <f>INDEX(Teams!$B$5:$H$45,MATCH(Results!$C132,Teams!$B$5:$B$45,0),5)</f>
        <v>Mineral</v>
      </c>
      <c r="I132" s="152" t="str">
        <f>INDEX(Teams!$B$5:$H$45,MATCH(Results!$C132,Teams!$B$5:$B$45,0),6)</f>
        <v>HRLP</v>
      </c>
      <c r="J132" s="152" t="str">
        <f>INDEX(Teams!$B$5:$H$45,MATCH(Results!$F132,Teams!$B$5:$B$45,0),6)</f>
        <v>RICH</v>
      </c>
      <c r="K132" s="69" t="str">
        <f t="shared" si="22"/>
        <v>HRLPRICH</v>
      </c>
      <c r="L132" s="68" t="str">
        <f t="shared" si="23"/>
        <v>HRLP</v>
      </c>
      <c r="M132" s="68">
        <f t="shared" si="24"/>
        <v>1</v>
      </c>
      <c r="N132" s="68">
        <f t="shared" si="25"/>
        <v>3</v>
      </c>
      <c r="O132" s="68" t="str">
        <f t="shared" si="26"/>
        <v>Home</v>
      </c>
      <c r="P132" s="68" t="str">
        <f t="shared" si="27"/>
        <v>HRLP7</v>
      </c>
      <c r="Q132" s="68" t="str">
        <f t="shared" si="28"/>
        <v>RICH7</v>
      </c>
      <c r="R132" s="68" t="e">
        <f>INDEX(RankPoints!$B$4:$AK$19,$B132+1,MATCH(Results!$I132,RankPoints!$B$4:$AK$4,0))</f>
        <v>#N/A</v>
      </c>
      <c r="S132" s="68" t="e">
        <f>INDEX(RankPoints!$B$4:$AK$19,$B132+1,MATCH(Results!$J132,RankPoints!$B$4:$AK$4,0))</f>
        <v>#N/A</v>
      </c>
      <c r="T132" s="68">
        <f t="shared" si="29"/>
        <v>1</v>
      </c>
      <c r="U132" s="155">
        <f t="shared" si="30"/>
        <v>0</v>
      </c>
      <c r="V132" s="156" t="e">
        <f>1/(1+(10^($X132/'[1]Teams'!$F$3)))</f>
        <v>#N/A</v>
      </c>
      <c r="W132" s="157" t="e">
        <f>1/(1+(10^($Y132/'[1]Teams'!$F$3)))</f>
        <v>#N/A</v>
      </c>
      <c r="X132" s="68" t="e">
        <f t="shared" si="31"/>
        <v>#N/A</v>
      </c>
      <c r="Y132" s="155" t="e">
        <f t="shared" si="32"/>
        <v>#N/A</v>
      </c>
      <c r="Z132" s="68" t="e">
        <f>ROUND($R132+(Teams!$H$2*($T132-$V132)),0)</f>
        <v>#N/A</v>
      </c>
      <c r="AA132" s="158" t="e">
        <f>ROUND($S132+(Teams!$H$2*($U132-$W132)),0)</f>
        <v>#N/A</v>
      </c>
    </row>
    <row r="133" spans="2:27" ht="12.75">
      <c r="B133" s="158">
        <v>7</v>
      </c>
      <c r="C133" s="216" t="s">
        <v>146</v>
      </c>
      <c r="D133" s="171">
        <v>20</v>
      </c>
      <c r="E133" s="175">
        <v>23</v>
      </c>
      <c r="F133" s="221" t="s">
        <v>155</v>
      </c>
      <c r="G133" s="151" t="str">
        <f>INDEX(Teams!$B$5:$H$45,MATCH(Results!$C133,Teams!$B$5:$B$45,0),3)</f>
        <v>Bryan-Hall Stadium</v>
      </c>
      <c r="H133" s="151" t="str">
        <f>INDEX(Teams!$B$5:$H$45,MATCH(Results!$C133,Teams!$B$5:$B$45,0),5)</f>
        <v>Mineral</v>
      </c>
      <c r="I133" s="152" t="str">
        <f>INDEX(Teams!$B$5:$H$45,MATCH(Results!$C133,Teams!$B$5:$B$45,0),6)</f>
        <v>WSIT</v>
      </c>
      <c r="J133" s="152" t="str">
        <f>INDEX(Teams!$B$5:$H$45,MATCH(Results!$F133,Teams!$B$5:$B$45,0),6)</f>
        <v>EKIL</v>
      </c>
      <c r="K133" s="69" t="str">
        <f t="shared" si="22"/>
        <v>WSITEKIL</v>
      </c>
      <c r="L133" s="68" t="str">
        <f t="shared" si="23"/>
        <v>EKIL</v>
      </c>
      <c r="M133" s="68">
        <f t="shared" si="24"/>
        <v>1</v>
      </c>
      <c r="N133" s="68">
        <f t="shared" si="25"/>
        <v>3</v>
      </c>
      <c r="O133" s="68" t="str">
        <f t="shared" si="26"/>
        <v>Away</v>
      </c>
      <c r="P133" s="68" t="str">
        <f t="shared" si="27"/>
        <v>WSIT7</v>
      </c>
      <c r="Q133" s="68" t="str">
        <f t="shared" si="28"/>
        <v>EKIL7</v>
      </c>
      <c r="R133" s="68" t="e">
        <f>INDEX(RankPoints!$B$4:$AK$19,$B133+1,MATCH(Results!$I133,RankPoints!$B$4:$AK$4,0))</f>
        <v>#N/A</v>
      </c>
      <c r="S133" s="68" t="e">
        <f>INDEX(RankPoints!$B$4:$AK$19,$B133+1,MATCH(Results!$J133,RankPoints!$B$4:$AK$4,0))</f>
        <v>#N/A</v>
      </c>
      <c r="T133" s="68">
        <f t="shared" si="29"/>
        <v>0</v>
      </c>
      <c r="U133" s="155">
        <f t="shared" si="30"/>
        <v>1</v>
      </c>
      <c r="V133" s="156" t="e">
        <f>1/(1+(10^($X133/'[1]Teams'!$F$3)))</f>
        <v>#N/A</v>
      </c>
      <c r="W133" s="157" t="e">
        <f>1/(1+(10^($Y133/'[1]Teams'!$F$3)))</f>
        <v>#N/A</v>
      </c>
      <c r="X133" s="68" t="e">
        <f t="shared" si="31"/>
        <v>#N/A</v>
      </c>
      <c r="Y133" s="155" t="e">
        <f t="shared" si="32"/>
        <v>#N/A</v>
      </c>
      <c r="Z133" s="68" t="e">
        <f>ROUND($R133+(Teams!$H$2*($T133-$V133)),0)</f>
        <v>#N/A</v>
      </c>
      <c r="AA133" s="158" t="e">
        <f>ROUND($S133+(Teams!$H$2*($U133-$W133)),0)</f>
        <v>#N/A</v>
      </c>
    </row>
    <row r="134" spans="2:27" ht="12.75">
      <c r="B134" s="158">
        <v>7</v>
      </c>
      <c r="C134" s="216" t="s">
        <v>80</v>
      </c>
      <c r="D134" s="171">
        <v>33</v>
      </c>
      <c r="E134" s="175">
        <v>10</v>
      </c>
      <c r="F134" s="221" t="s">
        <v>156</v>
      </c>
      <c r="G134" s="151" t="str">
        <f>INDEX(Teams!$B$5:$H$45,MATCH(Results!$C134,Teams!$B$5:$B$45,0),3)</f>
        <v>Orange Bowl</v>
      </c>
      <c r="H134" s="151" t="str">
        <f>INDEX(Teams!$B$5:$H$45,MATCH(Results!$C134,Teams!$B$5:$B$45,0),5)</f>
        <v>Mineral</v>
      </c>
      <c r="I134" s="152" t="str">
        <f>INDEX(Teams!$B$5:$H$45,MATCH(Results!$C134,Teams!$B$5:$B$45,0),6)</f>
        <v>OCSU</v>
      </c>
      <c r="J134" s="152" t="str">
        <f>INDEX(Teams!$B$5:$H$45,MATCH(Results!$F134,Teams!$B$5:$B$45,0),6)</f>
        <v>BLUE</v>
      </c>
      <c r="K134" s="69" t="str">
        <f t="shared" si="22"/>
        <v>OCSUBLUE</v>
      </c>
      <c r="L134" s="68" t="str">
        <f t="shared" si="23"/>
        <v>OCSU</v>
      </c>
      <c r="M134" s="68">
        <f t="shared" si="24"/>
        <v>1</v>
      </c>
      <c r="N134" s="68">
        <f t="shared" si="25"/>
        <v>23</v>
      </c>
      <c r="O134" s="68" t="str">
        <f t="shared" si="26"/>
        <v>Home</v>
      </c>
      <c r="P134" s="68" t="str">
        <f t="shared" si="27"/>
        <v>OCSU7</v>
      </c>
      <c r="Q134" s="68" t="str">
        <f t="shared" si="28"/>
        <v>BLUE7</v>
      </c>
      <c r="R134" s="68">
        <f>INDEX(RankPoints!$B$4:$AK$19,$B134+1,MATCH(Results!$I134,RankPoints!$B$4:$AK$4,0))</f>
        <v>1516</v>
      </c>
      <c r="S134" s="68" t="e">
        <f>INDEX(RankPoints!$B$4:$AK$19,$B134+1,MATCH(Results!$J134,RankPoints!$B$4:$AK$4,0))</f>
        <v>#N/A</v>
      </c>
      <c r="T134" s="68">
        <f t="shared" si="29"/>
        <v>1</v>
      </c>
      <c r="U134" s="155">
        <f t="shared" si="30"/>
        <v>0</v>
      </c>
      <c r="V134" s="156" t="e">
        <f>1/(1+(10^($X134/'[1]Teams'!$F$3)))</f>
        <v>#N/A</v>
      </c>
      <c r="W134" s="157" t="e">
        <f>1/(1+(10^($Y134/'[1]Teams'!$F$3)))</f>
        <v>#N/A</v>
      </c>
      <c r="X134" s="68" t="e">
        <f t="shared" si="31"/>
        <v>#N/A</v>
      </c>
      <c r="Y134" s="155" t="e">
        <f t="shared" si="32"/>
        <v>#N/A</v>
      </c>
      <c r="Z134" s="68" t="e">
        <f>ROUND($R134+(Teams!$H$2*($T134-$V134)),0)</f>
        <v>#N/A</v>
      </c>
      <c r="AA134" s="158" t="e">
        <f>ROUND($S134+(Teams!$H$2*($U134-$W134)),0)</f>
        <v>#N/A</v>
      </c>
    </row>
    <row r="135" spans="2:27" ht="12.75">
      <c r="B135" s="158">
        <v>7</v>
      </c>
      <c r="C135" s="216" t="s">
        <v>112</v>
      </c>
      <c r="D135" s="171">
        <v>3</v>
      </c>
      <c r="E135" s="175">
        <v>27</v>
      </c>
      <c r="F135" s="221" t="s">
        <v>269</v>
      </c>
      <c r="G135" s="151" t="str">
        <f>INDEX(Teams!$B$5:$H$45,MATCH(Results!$C135,Teams!$B$5:$B$45,0),3)</f>
        <v>George Litchko Stadium</v>
      </c>
      <c r="H135" s="151" t="str">
        <f>INDEX(Teams!$B$5:$H$45,MATCH(Results!$C135,Teams!$B$5:$B$45,0),5)</f>
        <v>Sequoia</v>
      </c>
      <c r="I135" s="152" t="str">
        <f>INDEX(Teams!$B$5:$H$45,MATCH(Results!$C135,Teams!$B$5:$B$45,0),6)</f>
        <v>FHST</v>
      </c>
      <c r="J135" s="152" t="str">
        <f>INDEX(Teams!$B$5:$H$45,MATCH(Results!$F135,Teams!$B$5:$B$45,0),6)</f>
        <v>STJN</v>
      </c>
      <c r="K135" s="69" t="str">
        <f t="shared" si="22"/>
        <v>FHSTSTJN</v>
      </c>
      <c r="L135" s="68" t="str">
        <f t="shared" si="23"/>
        <v>STJN</v>
      </c>
      <c r="M135" s="68">
        <f t="shared" si="24"/>
        <v>1</v>
      </c>
      <c r="N135" s="68">
        <f t="shared" si="25"/>
        <v>24</v>
      </c>
      <c r="O135" s="68" t="str">
        <f t="shared" si="26"/>
        <v>Away</v>
      </c>
      <c r="P135" s="68" t="str">
        <f t="shared" si="27"/>
        <v>FHST7</v>
      </c>
      <c r="Q135" s="68" t="str">
        <f t="shared" si="28"/>
        <v>STJN7</v>
      </c>
      <c r="R135" s="68">
        <f>INDEX(RankPoints!$B$4:$AK$19,$B135+1,MATCH(Results!$I135,RankPoints!$B$4:$AK$4,0))</f>
        <v>-3061</v>
      </c>
      <c r="S135" s="68">
        <f>INDEX(RankPoints!$B$4:$AK$19,$B135+1,MATCH(Results!$J135,RankPoints!$B$4:$AK$4,0))</f>
        <v>119</v>
      </c>
      <c r="T135" s="68">
        <f t="shared" si="29"/>
        <v>0</v>
      </c>
      <c r="U135" s="155">
        <f t="shared" si="30"/>
        <v>1</v>
      </c>
      <c r="V135" s="156">
        <f>1/(1+(10^($X135/'[1]Teams'!$F$3)))</f>
        <v>0.9999999887798156</v>
      </c>
      <c r="W135" s="157">
        <f>1/(1+(10^($Y135/'[1]Teams'!$F$3)))</f>
        <v>1.1220184417127069E-08</v>
      </c>
      <c r="X135" s="68">
        <f t="shared" si="31"/>
        <v>-3180</v>
      </c>
      <c r="Y135" s="155">
        <f t="shared" si="32"/>
        <v>3180</v>
      </c>
      <c r="Z135" s="68">
        <f>ROUND($R135+(Teams!$H$2*($T135-$V135)),0)</f>
        <v>-3093</v>
      </c>
      <c r="AA135" s="158">
        <f>ROUND($S135+(Teams!$H$2*($U135-$W135)),0)</f>
        <v>151</v>
      </c>
    </row>
    <row r="136" spans="2:27" ht="12.75">
      <c r="B136" s="158">
        <v>7</v>
      </c>
      <c r="C136" s="216" t="s">
        <v>119</v>
      </c>
      <c r="D136" s="171">
        <v>10</v>
      </c>
      <c r="E136" s="175">
        <v>44</v>
      </c>
      <c r="F136" s="221" t="s">
        <v>19</v>
      </c>
      <c r="G136" s="151" t="str">
        <f>INDEX(Teams!$B$5:$H$45,MATCH(Results!$C136,Teams!$B$5:$B$45,0),3)</f>
        <v>Parah Dome</v>
      </c>
      <c r="H136" s="151" t="str">
        <f>INDEX(Teams!$B$5:$H$45,MATCH(Results!$C136,Teams!$B$5:$B$45,0),5)</f>
        <v>Sequoia</v>
      </c>
      <c r="I136" s="152" t="str">
        <f>INDEX(Teams!$B$5:$H$45,MATCH(Results!$C136,Teams!$B$5:$B$45,0),6)</f>
        <v>NETT</v>
      </c>
      <c r="J136" s="152" t="str">
        <f>INDEX(Teams!$B$5:$H$45,MATCH(Results!$F136,Teams!$B$5:$B$45,0),6)</f>
        <v>ALZD</v>
      </c>
      <c r="K136" s="69" t="str">
        <f t="shared" si="22"/>
        <v>NETTALZD</v>
      </c>
      <c r="L136" s="68" t="str">
        <f t="shared" si="23"/>
        <v>ALZD</v>
      </c>
      <c r="M136" s="68">
        <f t="shared" si="24"/>
        <v>1</v>
      </c>
      <c r="N136" s="68">
        <f t="shared" si="25"/>
        <v>34</v>
      </c>
      <c r="O136" s="68" t="str">
        <f t="shared" si="26"/>
        <v>Away</v>
      </c>
      <c r="P136" s="68" t="str">
        <f t="shared" si="27"/>
        <v>NETT7</v>
      </c>
      <c r="Q136" s="68" t="str">
        <f t="shared" si="28"/>
        <v>ALZD7</v>
      </c>
      <c r="R136" s="68" t="e">
        <f>INDEX(RankPoints!$B$4:$AK$19,$B136+1,MATCH(Results!$I136,RankPoints!$B$4:$AK$4,0))</f>
        <v>#N/A</v>
      </c>
      <c r="S136" s="68">
        <f>INDEX(RankPoints!$B$4:$AK$19,$B136+1,MATCH(Results!$J136,RankPoints!$B$4:$AK$4,0))</f>
        <v>-13</v>
      </c>
      <c r="T136" s="68">
        <f t="shared" si="29"/>
        <v>0</v>
      </c>
      <c r="U136" s="155">
        <f t="shared" si="30"/>
        <v>1</v>
      </c>
      <c r="V136" s="156" t="e">
        <f>1/(1+(10^($X136/'[1]Teams'!$F$3)))</f>
        <v>#N/A</v>
      </c>
      <c r="W136" s="157" t="e">
        <f>1/(1+(10^($Y136/'[1]Teams'!$F$3)))</f>
        <v>#N/A</v>
      </c>
      <c r="X136" s="68" t="e">
        <f t="shared" si="31"/>
        <v>#N/A</v>
      </c>
      <c r="Y136" s="155" t="e">
        <f t="shared" si="32"/>
        <v>#N/A</v>
      </c>
      <c r="Z136" s="68" t="e">
        <f>ROUND($R136+(Teams!$H$2*($T136-$V136)),0)</f>
        <v>#N/A</v>
      </c>
      <c r="AA136" s="158" t="e">
        <f>ROUND($S136+(Teams!$H$2*($U136-$W136)),0)</f>
        <v>#N/A</v>
      </c>
    </row>
    <row r="137" spans="2:27" ht="12.75">
      <c r="B137" s="158">
        <v>7</v>
      </c>
      <c r="C137" s="216" t="s">
        <v>111</v>
      </c>
      <c r="D137" s="171">
        <v>0</v>
      </c>
      <c r="E137" s="175">
        <v>10</v>
      </c>
      <c r="F137" s="221" t="s">
        <v>117</v>
      </c>
      <c r="G137" s="151" t="str">
        <f>INDEX(Teams!$B$5:$H$45,MATCH(Results!$C137,Teams!$B$5:$B$45,0),3)</f>
        <v>Welcome City Stadium</v>
      </c>
      <c r="H137" s="151" t="str">
        <f>INDEX(Teams!$B$5:$H$45,MATCH(Results!$C137,Teams!$B$5:$B$45,0),5)</f>
        <v>Sequoia</v>
      </c>
      <c r="I137" s="152" t="str">
        <f>INDEX(Teams!$B$5:$H$45,MATCH(Results!$C137,Teams!$B$5:$B$45,0),6)</f>
        <v>NRDN</v>
      </c>
      <c r="J137" s="152" t="str">
        <f>INDEX(Teams!$B$5:$H$45,MATCH(Results!$F137,Teams!$B$5:$B$45,0),6)</f>
        <v>ALUT</v>
      </c>
      <c r="K137" s="69" t="str">
        <f t="shared" si="22"/>
        <v>NRDNALUT</v>
      </c>
      <c r="L137" s="68" t="str">
        <f t="shared" si="23"/>
        <v>ALUT</v>
      </c>
      <c r="M137" s="68">
        <f t="shared" si="24"/>
        <v>1</v>
      </c>
      <c r="N137" s="68">
        <f t="shared" si="25"/>
        <v>10</v>
      </c>
      <c r="O137" s="68" t="str">
        <f t="shared" si="26"/>
        <v>Away</v>
      </c>
      <c r="P137" s="68" t="str">
        <f t="shared" si="27"/>
        <v>NRDN7</v>
      </c>
      <c r="Q137" s="68" t="str">
        <f t="shared" si="28"/>
        <v>ALUT7</v>
      </c>
      <c r="R137" s="68">
        <f>INDEX(RankPoints!$B$4:$AK$19,$B137+1,MATCH(Results!$I137,RankPoints!$B$4:$AK$4,0))</f>
        <v>-85</v>
      </c>
      <c r="S137" s="68" t="e">
        <f>INDEX(RankPoints!$B$4:$AK$19,$B137+1,MATCH(Results!$J137,RankPoints!$B$4:$AK$4,0))</f>
        <v>#N/A</v>
      </c>
      <c r="T137" s="68">
        <f t="shared" si="29"/>
        <v>0</v>
      </c>
      <c r="U137" s="155">
        <f t="shared" si="30"/>
        <v>1</v>
      </c>
      <c r="V137" s="156" t="e">
        <f>1/(1+(10^($X137/'[1]Teams'!$F$3)))</f>
        <v>#N/A</v>
      </c>
      <c r="W137" s="157" t="e">
        <f>1/(1+(10^($Y137/'[1]Teams'!$F$3)))</f>
        <v>#N/A</v>
      </c>
      <c r="X137" s="68" t="e">
        <f t="shared" si="31"/>
        <v>#N/A</v>
      </c>
      <c r="Y137" s="155" t="e">
        <f t="shared" si="32"/>
        <v>#N/A</v>
      </c>
      <c r="Z137" s="68" t="e">
        <f>ROUND($R137+(Teams!$H$2*($T137-$V137)),0)</f>
        <v>#N/A</v>
      </c>
      <c r="AA137" s="158" t="e">
        <f>ROUND($S137+(Teams!$H$2*($U137-$W137)),0)</f>
        <v>#N/A</v>
      </c>
    </row>
    <row r="138" spans="2:27" ht="12.75">
      <c r="B138" s="158">
        <v>7</v>
      </c>
      <c r="C138" s="216" t="s">
        <v>79</v>
      </c>
      <c r="D138" s="171">
        <v>13</v>
      </c>
      <c r="E138" s="175">
        <v>7</v>
      </c>
      <c r="F138" s="221" t="s">
        <v>265</v>
      </c>
      <c r="G138" s="151" t="str">
        <f>INDEX(Teams!$B$5:$H$45,MATCH(Results!$C138,Teams!$B$5:$B$45,0),3)</f>
        <v>Anatidae Field</v>
      </c>
      <c r="H138" s="151" t="str">
        <f>INDEX(Teams!$B$5:$H$45,MATCH(Results!$C138,Teams!$B$5:$B$45,0),5)</f>
        <v>Sequoia</v>
      </c>
      <c r="I138" s="152" t="str">
        <f>INDEX(Teams!$B$5:$H$45,MATCH(Results!$C138,Teams!$B$5:$B$45,0),6)</f>
        <v>RVMD</v>
      </c>
      <c r="J138" s="152" t="str">
        <f>INDEX(Teams!$B$5:$H$45,MATCH(Results!$F138,Teams!$B$5:$B$45,0),6)</f>
        <v>ACSP</v>
      </c>
      <c r="K138" s="69" t="str">
        <f t="shared" si="22"/>
        <v>RVMDACSP</v>
      </c>
      <c r="L138" s="68" t="str">
        <f t="shared" si="23"/>
        <v>RVMD</v>
      </c>
      <c r="M138" s="68">
        <f t="shared" si="24"/>
        <v>1</v>
      </c>
      <c r="N138" s="68">
        <f t="shared" si="25"/>
        <v>6</v>
      </c>
      <c r="O138" s="68" t="str">
        <f t="shared" si="26"/>
        <v>Home</v>
      </c>
      <c r="P138" s="68" t="str">
        <f t="shared" si="27"/>
        <v>RVMD7</v>
      </c>
      <c r="Q138" s="68" t="str">
        <f t="shared" si="28"/>
        <v>ACSP7</v>
      </c>
      <c r="R138" s="68">
        <f>INDEX(RankPoints!$B$4:$AK$19,$B138+1,MATCH(Results!$I138,RankPoints!$B$4:$AK$4,0))</f>
        <v>1479</v>
      </c>
      <c r="S138" s="68" t="e">
        <f>INDEX(RankPoints!$B$4:$AK$19,$B138+1,MATCH(Results!$J138,RankPoints!$B$4:$AK$4,0))</f>
        <v>#N/A</v>
      </c>
      <c r="T138" s="68">
        <f t="shared" si="29"/>
        <v>1</v>
      </c>
      <c r="U138" s="155">
        <f t="shared" si="30"/>
        <v>0</v>
      </c>
      <c r="V138" s="156" t="e">
        <f>1/(1+(10^($X138/'[1]Teams'!$F$3)))</f>
        <v>#N/A</v>
      </c>
      <c r="W138" s="157" t="e">
        <f>1/(1+(10^($Y138/'[1]Teams'!$F$3)))</f>
        <v>#N/A</v>
      </c>
      <c r="X138" s="68" t="e">
        <f t="shared" si="31"/>
        <v>#N/A</v>
      </c>
      <c r="Y138" s="155" t="e">
        <f t="shared" si="32"/>
        <v>#N/A</v>
      </c>
      <c r="Z138" s="68" t="e">
        <f>ROUND($R138+(Teams!$H$2*($T138-$V138)),0)</f>
        <v>#N/A</v>
      </c>
      <c r="AA138" s="158" t="e">
        <f>ROUND($S138+(Teams!$H$2*($U138-$W138)),0)</f>
        <v>#N/A</v>
      </c>
    </row>
    <row r="139" spans="2:27" ht="12.75">
      <c r="B139" s="158">
        <v>7</v>
      </c>
      <c r="C139" s="216" t="s">
        <v>158</v>
      </c>
      <c r="D139" s="171">
        <v>44</v>
      </c>
      <c r="E139" s="175">
        <v>24</v>
      </c>
      <c r="F139" s="221" t="s">
        <v>152</v>
      </c>
      <c r="G139" s="151" t="str">
        <f>INDEX(Teams!$B$5:$H$45,MATCH(Results!$C139,Teams!$B$5:$B$45,0),3)</f>
        <v>The Brown House</v>
      </c>
      <c r="H139" s="151" t="str">
        <f>INDEX(Teams!$B$5:$H$45,MATCH(Results!$C139,Teams!$B$5:$B$45,0),5)</f>
        <v>Woodlands</v>
      </c>
      <c r="I139" s="152" t="str">
        <f>INDEX(Teams!$B$5:$H$45,MATCH(Results!$C139,Teams!$B$5:$B$45,0),6)</f>
        <v>TOUF</v>
      </c>
      <c r="J139" s="152" t="str">
        <f>INDEX(Teams!$B$5:$H$45,MATCH(Results!$F139,Teams!$B$5:$B$45,0),6)</f>
        <v>WALT</v>
      </c>
      <c r="K139" s="69" t="str">
        <f t="shared" si="22"/>
        <v>TOUFWALT</v>
      </c>
      <c r="L139" s="68" t="str">
        <f t="shared" si="23"/>
        <v>TOUF</v>
      </c>
      <c r="M139" s="68">
        <f t="shared" si="24"/>
        <v>1</v>
      </c>
      <c r="N139" s="68">
        <f t="shared" si="25"/>
        <v>20</v>
      </c>
      <c r="O139" s="68" t="str">
        <f t="shared" si="26"/>
        <v>Home</v>
      </c>
      <c r="P139" s="68" t="str">
        <f t="shared" si="27"/>
        <v>TOUF7</v>
      </c>
      <c r="Q139" s="68" t="str">
        <f t="shared" si="28"/>
        <v>WALT7</v>
      </c>
      <c r="R139" s="68" t="e">
        <f>INDEX(RankPoints!$B$4:$AK$19,$B139+1,MATCH(Results!$I139,RankPoints!$B$4:$AK$4,0))</f>
        <v>#N/A</v>
      </c>
      <c r="S139" s="68" t="e">
        <f>INDEX(RankPoints!$B$4:$AK$19,$B139+1,MATCH(Results!$J139,RankPoints!$B$4:$AK$4,0))</f>
        <v>#N/A</v>
      </c>
      <c r="T139" s="68">
        <f t="shared" si="29"/>
        <v>1</v>
      </c>
      <c r="U139" s="155">
        <f t="shared" si="30"/>
        <v>0</v>
      </c>
      <c r="V139" s="156" t="e">
        <f>1/(1+(10^($X139/'[1]Teams'!$F$3)))</f>
        <v>#N/A</v>
      </c>
      <c r="W139" s="157" t="e">
        <f>1/(1+(10^($Y139/'[1]Teams'!$F$3)))</f>
        <v>#N/A</v>
      </c>
      <c r="X139" s="68" t="e">
        <f t="shared" si="31"/>
        <v>#N/A</v>
      </c>
      <c r="Y139" s="155" t="e">
        <f t="shared" si="32"/>
        <v>#N/A</v>
      </c>
      <c r="Z139" s="68" t="e">
        <f>ROUND($R139+(Teams!$H$2*($T139-$V139)),0)</f>
        <v>#N/A</v>
      </c>
      <c r="AA139" s="158" t="e">
        <f>ROUND($S139+(Teams!$H$2*($U139-$W139)),0)</f>
        <v>#N/A</v>
      </c>
    </row>
    <row r="140" spans="2:27" ht="12.75">
      <c r="B140" s="158">
        <v>7</v>
      </c>
      <c r="C140" s="216" t="s">
        <v>109</v>
      </c>
      <c r="D140" s="171">
        <v>33</v>
      </c>
      <c r="E140" s="175">
        <v>0</v>
      </c>
      <c r="F140" s="221" t="s">
        <v>255</v>
      </c>
      <c r="G140" s="151" t="str">
        <f>INDEX(Teams!$B$5:$H$45,MATCH(Results!$C140,Teams!$B$5:$B$45,0),3)</f>
        <v>Walker Field</v>
      </c>
      <c r="H140" s="151" t="str">
        <f>INDEX(Teams!$B$5:$H$45,MATCH(Results!$C140,Teams!$B$5:$B$45,0),5)</f>
        <v>Woodlands</v>
      </c>
      <c r="I140" s="152" t="str">
        <f>INDEX(Teams!$B$5:$H$45,MATCH(Results!$C140,Teams!$B$5:$B$45,0),6)</f>
        <v>ARKN</v>
      </c>
      <c r="J140" s="152" t="str">
        <f>INDEX(Teams!$B$5:$H$45,MATCH(Results!$F140,Teams!$B$5:$B$45,0),6)</f>
        <v>HUDS</v>
      </c>
      <c r="K140" s="69" t="str">
        <f t="shared" si="22"/>
        <v>ARKNHUDS</v>
      </c>
      <c r="L140" s="68" t="str">
        <f t="shared" si="23"/>
        <v>ARKN</v>
      </c>
      <c r="M140" s="68">
        <f t="shared" si="24"/>
        <v>1</v>
      </c>
      <c r="N140" s="68">
        <f t="shared" si="25"/>
        <v>33</v>
      </c>
      <c r="O140" s="68" t="str">
        <f t="shared" si="26"/>
        <v>Home</v>
      </c>
      <c r="P140" s="68" t="str">
        <f t="shared" si="27"/>
        <v>ARKN7</v>
      </c>
      <c r="Q140" s="68" t="str">
        <f t="shared" si="28"/>
        <v>HUDS7</v>
      </c>
      <c r="R140" s="68">
        <f>INDEX(RankPoints!$B$4:$AK$19,$B140+1,MATCH(Results!$I140,RankPoints!$B$4:$AK$4,0))</f>
        <v>351</v>
      </c>
      <c r="S140" s="68" t="e">
        <f>INDEX(RankPoints!$B$4:$AK$19,$B140+1,MATCH(Results!$J140,RankPoints!$B$4:$AK$4,0))</f>
        <v>#N/A</v>
      </c>
      <c r="T140" s="68">
        <f t="shared" si="29"/>
        <v>1</v>
      </c>
      <c r="U140" s="155">
        <f t="shared" si="30"/>
        <v>0</v>
      </c>
      <c r="V140" s="156" t="e">
        <f>1/(1+(10^($X140/'[1]Teams'!$F$3)))</f>
        <v>#N/A</v>
      </c>
      <c r="W140" s="157" t="e">
        <f>1/(1+(10^($Y140/'[1]Teams'!$F$3)))</f>
        <v>#N/A</v>
      </c>
      <c r="X140" s="68" t="e">
        <f t="shared" si="31"/>
        <v>#N/A</v>
      </c>
      <c r="Y140" s="155" t="e">
        <f t="shared" si="32"/>
        <v>#N/A</v>
      </c>
      <c r="Z140" s="68" t="e">
        <f>ROUND($R140+(Teams!$H$2*($T140-$V140)),0)</f>
        <v>#N/A</v>
      </c>
      <c r="AA140" s="158" t="e">
        <f>ROUND($S140+(Teams!$H$2*($U140-$W140)),0)</f>
        <v>#N/A</v>
      </c>
    </row>
    <row r="141" spans="2:27" ht="12.75">
      <c r="B141" s="158">
        <v>7</v>
      </c>
      <c r="C141" s="216" t="s">
        <v>125</v>
      </c>
      <c r="D141" s="171">
        <v>0</v>
      </c>
      <c r="E141" s="175">
        <v>10</v>
      </c>
      <c r="F141" s="221" t="s">
        <v>78</v>
      </c>
      <c r="G141" s="151" t="str">
        <f>INDEX(Teams!$B$5:$H$45,MATCH(Results!$C141,Teams!$B$5:$B$45,0),3)</f>
        <v>Groundhog Field</v>
      </c>
      <c r="H141" s="151" t="str">
        <f>INDEX(Teams!$B$5:$H$45,MATCH(Results!$C141,Teams!$B$5:$B$45,0),5)</f>
        <v>Woodlands</v>
      </c>
      <c r="I141" s="152" t="str">
        <f>INDEX(Teams!$B$5:$H$45,MATCH(Results!$C141,Teams!$B$5:$B$45,0),6)</f>
        <v>JGZA</v>
      </c>
      <c r="J141" s="152" t="str">
        <f>INDEX(Teams!$B$5:$H$45,MATCH(Results!$F141,Teams!$B$5:$B$45,0),6)</f>
        <v>FRBB</v>
      </c>
      <c r="K141" s="69" t="str">
        <f t="shared" si="22"/>
        <v>JGZAFRBB</v>
      </c>
      <c r="L141" s="68" t="str">
        <f t="shared" si="23"/>
        <v>FRBB</v>
      </c>
      <c r="M141" s="68">
        <f t="shared" si="24"/>
        <v>1</v>
      </c>
      <c r="N141" s="68">
        <f t="shared" si="25"/>
        <v>10</v>
      </c>
      <c r="O141" s="68" t="str">
        <f t="shared" si="26"/>
        <v>Away</v>
      </c>
      <c r="P141" s="68" t="str">
        <f t="shared" si="27"/>
        <v>JGZA7</v>
      </c>
      <c r="Q141" s="68" t="str">
        <f t="shared" si="28"/>
        <v>FRBB7</v>
      </c>
      <c r="R141" s="68" t="e">
        <f>INDEX(RankPoints!$B$4:$AK$19,$B141+1,MATCH(Results!$I141,RankPoints!$B$4:$AK$4,0))</f>
        <v>#N/A</v>
      </c>
      <c r="S141" s="68">
        <f>INDEX(RankPoints!$B$4:$AK$19,$B141+1,MATCH(Results!$J141,RankPoints!$B$4:$AK$4,0))</f>
        <v>1125</v>
      </c>
      <c r="T141" s="68">
        <f t="shared" si="29"/>
        <v>0</v>
      </c>
      <c r="U141" s="155">
        <f t="shared" si="30"/>
        <v>1</v>
      </c>
      <c r="V141" s="156" t="e">
        <f>1/(1+(10^($X141/'[1]Teams'!$F$3)))</f>
        <v>#N/A</v>
      </c>
      <c r="W141" s="157" t="e">
        <f>1/(1+(10^($Y141/'[1]Teams'!$F$3)))</f>
        <v>#N/A</v>
      </c>
      <c r="X141" s="68" t="e">
        <f t="shared" si="31"/>
        <v>#N/A</v>
      </c>
      <c r="Y141" s="155" t="e">
        <f t="shared" si="32"/>
        <v>#N/A</v>
      </c>
      <c r="Z141" s="68" t="e">
        <f>ROUND($R141+(Teams!$H$2*($T141-$V141)),0)</f>
        <v>#N/A</v>
      </c>
      <c r="AA141" s="158" t="e">
        <f>ROUND($S141+(Teams!$H$2*($U141-$W141)),0)</f>
        <v>#N/A</v>
      </c>
    </row>
    <row r="142" spans="2:27" ht="12.75">
      <c r="B142" s="158">
        <v>7</v>
      </c>
      <c r="C142" s="216" t="s">
        <v>110</v>
      </c>
      <c r="D142" s="171">
        <v>20</v>
      </c>
      <c r="E142" s="175">
        <v>6</v>
      </c>
      <c r="F142" s="221" t="s">
        <v>127</v>
      </c>
      <c r="G142" s="151" t="str">
        <f>INDEX(Teams!$B$5:$H$45,MATCH(Results!$C142,Teams!$B$5:$B$45,0),3)</f>
        <v>Martin Connors Memorial Field</v>
      </c>
      <c r="H142" s="151" t="str">
        <f>INDEX(Teams!$B$5:$H$45,MATCH(Results!$C142,Teams!$B$5:$B$45,0),5)</f>
        <v>Woodlands</v>
      </c>
      <c r="I142" s="152" t="str">
        <f>INDEX(Teams!$B$5:$H$45,MATCH(Results!$C142,Teams!$B$5:$B$45,0),6)</f>
        <v>UTCA</v>
      </c>
      <c r="J142" s="152" t="str">
        <f>INDEX(Teams!$B$5:$H$45,MATCH(Results!$F142,Teams!$B$5:$B$45,0),6)</f>
        <v>BUCK</v>
      </c>
      <c r="K142" s="69" t="str">
        <f t="shared" si="22"/>
        <v>UTCABUCK</v>
      </c>
      <c r="L142" s="68" t="str">
        <f t="shared" si="23"/>
        <v>UTCA</v>
      </c>
      <c r="M142" s="68">
        <f t="shared" si="24"/>
        <v>1</v>
      </c>
      <c r="N142" s="68">
        <f t="shared" si="25"/>
        <v>14</v>
      </c>
      <c r="O142" s="68" t="str">
        <f t="shared" si="26"/>
        <v>Home</v>
      </c>
      <c r="P142" s="68" t="str">
        <f t="shared" si="27"/>
        <v>UTCA7</v>
      </c>
      <c r="Q142" s="68" t="str">
        <f t="shared" si="28"/>
        <v>BUCK7</v>
      </c>
      <c r="R142" s="68">
        <f>INDEX(RankPoints!$B$4:$AK$19,$B142+1,MATCH(Results!$I142,RankPoints!$B$4:$AK$4,0))</f>
        <v>326</v>
      </c>
      <c r="S142" s="68" t="e">
        <f>INDEX(RankPoints!$B$4:$AK$19,$B142+1,MATCH(Results!$J142,RankPoints!$B$4:$AK$4,0))</f>
        <v>#N/A</v>
      </c>
      <c r="T142" s="68">
        <f t="shared" si="29"/>
        <v>1</v>
      </c>
      <c r="U142" s="155">
        <f t="shared" si="30"/>
        <v>0</v>
      </c>
      <c r="V142" s="156" t="e">
        <f>1/(1+(10^($X142/'[1]Teams'!$F$3)))</f>
        <v>#N/A</v>
      </c>
      <c r="W142" s="157" t="e">
        <f>1/(1+(10^($Y142/'[1]Teams'!$F$3)))</f>
        <v>#N/A</v>
      </c>
      <c r="X142" s="68" t="e">
        <f t="shared" si="31"/>
        <v>#N/A</v>
      </c>
      <c r="Y142" s="155" t="e">
        <f t="shared" si="32"/>
        <v>#N/A</v>
      </c>
      <c r="Z142" s="68" t="e">
        <f>ROUND($R142+(Teams!$H$2*($T142-$V142)),0)</f>
        <v>#N/A</v>
      </c>
      <c r="AA142" s="158" t="e">
        <f>ROUND($S142+(Teams!$H$2*($U142-$W142)),0)</f>
        <v>#N/A</v>
      </c>
    </row>
    <row r="143" spans="2:27" ht="12.75">
      <c r="B143" s="158">
        <v>8</v>
      </c>
      <c r="C143" s="216" t="s">
        <v>271</v>
      </c>
      <c r="D143" s="171">
        <v>0</v>
      </c>
      <c r="E143" s="175">
        <v>7</v>
      </c>
      <c r="F143" s="221" t="s">
        <v>144</v>
      </c>
      <c r="G143" s="151" t="str">
        <f>INDEX(Teams!$B$5:$H$45,MATCH(Results!$C143,Teams!$B$5:$B$45,0),3)</f>
        <v>Saunders Klijde Stadium</v>
      </c>
      <c r="H143" s="151" t="str">
        <f>INDEX(Teams!$B$5:$H$45,MATCH(Results!$C143,Teams!$B$5:$B$45,0),5)</f>
        <v>Big Eight</v>
      </c>
      <c r="I143" s="152" t="str">
        <f>INDEX(Teams!$B$5:$H$45,MATCH(Results!$C143,Teams!$B$5:$B$45,0),6)</f>
        <v>WAA</v>
      </c>
      <c r="J143" s="152" t="str">
        <f>INDEX(Teams!$B$5:$H$45,MATCH(Results!$F143,Teams!$B$5:$B$45,0),6)</f>
        <v>ARLN</v>
      </c>
      <c r="K143" s="69" t="str">
        <f t="shared" si="22"/>
        <v>WAAARLN</v>
      </c>
      <c r="L143" s="68" t="str">
        <f t="shared" si="23"/>
        <v>ARLN</v>
      </c>
      <c r="M143" s="68">
        <f t="shared" si="24"/>
        <v>1</v>
      </c>
      <c r="N143" s="68">
        <f t="shared" si="25"/>
        <v>7</v>
      </c>
      <c r="O143" s="68" t="str">
        <f t="shared" si="26"/>
        <v>Away</v>
      </c>
      <c r="P143" s="68" t="str">
        <f t="shared" si="27"/>
        <v>WAA8</v>
      </c>
      <c r="Q143" s="68" t="str">
        <f t="shared" si="28"/>
        <v>ARLN8</v>
      </c>
      <c r="R143" s="68" t="e">
        <f>INDEX(RankPoints!$B$4:$AK$19,$B143+1,MATCH(Results!$I143,RankPoints!$B$4:$AK$4,0))</f>
        <v>#N/A</v>
      </c>
      <c r="S143" s="68" t="e">
        <f>INDEX(RankPoints!$B$4:$AK$19,$B143+1,MATCH(Results!$J143,RankPoints!$B$4:$AK$4,0))</f>
        <v>#N/A</v>
      </c>
      <c r="T143" s="68">
        <f t="shared" si="29"/>
        <v>0</v>
      </c>
      <c r="U143" s="155">
        <f t="shared" si="30"/>
        <v>1</v>
      </c>
      <c r="V143" s="156" t="e">
        <f>1/(1+(10^($X143/'[1]Teams'!$F$3)))</f>
        <v>#N/A</v>
      </c>
      <c r="W143" s="157" t="e">
        <f>1/(1+(10^($Y143/'[1]Teams'!$F$3)))</f>
        <v>#N/A</v>
      </c>
      <c r="X143" s="68" t="e">
        <f t="shared" si="31"/>
        <v>#N/A</v>
      </c>
      <c r="Y143" s="155" t="e">
        <f t="shared" si="32"/>
        <v>#N/A</v>
      </c>
      <c r="Z143" s="68" t="e">
        <f>ROUND($R143+(Teams!$H$2*($T143-$V143)),0)</f>
        <v>#N/A</v>
      </c>
      <c r="AA143" s="158" t="e">
        <f>ROUND($S143+(Teams!$H$2*($U143-$W143)),0)</f>
        <v>#N/A</v>
      </c>
    </row>
    <row r="144" spans="2:27" ht="12.75">
      <c r="B144" s="158">
        <v>8</v>
      </c>
      <c r="C144" s="216" t="s">
        <v>154</v>
      </c>
      <c r="D144" s="171">
        <v>13</v>
      </c>
      <c r="E144" s="175">
        <v>40</v>
      </c>
      <c r="F144" s="221" t="s">
        <v>270</v>
      </c>
      <c r="G144" s="151" t="str">
        <f>INDEX(Teams!$B$5:$H$45,MATCH(Results!$C144,Teams!$B$5:$B$45,0),3)</f>
        <v>Nobel Stadium</v>
      </c>
      <c r="H144" s="151" t="str">
        <f>INDEX(Teams!$B$5:$H$45,MATCH(Results!$C144,Teams!$B$5:$B$45,0),5)</f>
        <v>Big Eight</v>
      </c>
      <c r="I144" s="152" t="str">
        <f>INDEX(Teams!$B$5:$H$45,MATCH(Results!$C144,Teams!$B$5:$B$45,0),6)</f>
        <v>NOBL</v>
      </c>
      <c r="J144" s="152" t="str">
        <f>INDEX(Teams!$B$5:$H$45,MATCH(Results!$F144,Teams!$B$5:$B$45,0),6)</f>
        <v>BUGN</v>
      </c>
      <c r="K144" s="69" t="str">
        <f t="shared" si="22"/>
        <v>NOBLBUGN</v>
      </c>
      <c r="L144" s="68" t="str">
        <f t="shared" si="23"/>
        <v>BUGN</v>
      </c>
      <c r="M144" s="68">
        <f t="shared" si="24"/>
        <v>1</v>
      </c>
      <c r="N144" s="68">
        <f t="shared" si="25"/>
        <v>27</v>
      </c>
      <c r="O144" s="68" t="str">
        <f t="shared" si="26"/>
        <v>Away</v>
      </c>
      <c r="P144" s="68" t="str">
        <f t="shared" si="27"/>
        <v>NOBL8</v>
      </c>
      <c r="Q144" s="68" t="str">
        <f t="shared" si="28"/>
        <v>BUGN8</v>
      </c>
      <c r="R144" s="68" t="e">
        <f>INDEX(RankPoints!$B$4:$AK$19,$B144+1,MATCH(Results!$I144,RankPoints!$B$4:$AK$4,0))</f>
        <v>#N/A</v>
      </c>
      <c r="S144" s="68">
        <f>INDEX(RankPoints!$B$4:$AK$19,$B144+1,MATCH(Results!$J144,RankPoints!$B$4:$AK$4,0))</f>
        <v>1516</v>
      </c>
      <c r="T144" s="68">
        <f t="shared" si="29"/>
        <v>0</v>
      </c>
      <c r="U144" s="155">
        <f t="shared" si="30"/>
        <v>1</v>
      </c>
      <c r="V144" s="156" t="e">
        <f>1/(1+(10^($X144/'[1]Teams'!$F$3)))</f>
        <v>#N/A</v>
      </c>
      <c r="W144" s="157" t="e">
        <f>1/(1+(10^($Y144/'[1]Teams'!$F$3)))</f>
        <v>#N/A</v>
      </c>
      <c r="X144" s="68" t="e">
        <f t="shared" si="31"/>
        <v>#N/A</v>
      </c>
      <c r="Y144" s="155" t="e">
        <f t="shared" si="32"/>
        <v>#N/A</v>
      </c>
      <c r="Z144" s="68" t="e">
        <f>ROUND($R144+(Teams!$H$2*($T144-$V144)),0)</f>
        <v>#N/A</v>
      </c>
      <c r="AA144" s="158" t="e">
        <f>ROUND($S144+(Teams!$H$2*($U144-$W144)),0)</f>
        <v>#N/A</v>
      </c>
    </row>
    <row r="145" spans="2:27" ht="12.75">
      <c r="B145" s="158">
        <v>8</v>
      </c>
      <c r="C145" s="216" t="s">
        <v>124</v>
      </c>
      <c r="D145" s="171">
        <v>43</v>
      </c>
      <c r="E145" s="175">
        <v>3</v>
      </c>
      <c r="F145" s="221" t="s">
        <v>148</v>
      </c>
      <c r="G145" s="151" t="str">
        <f>INDEX(Teams!$B$5:$H$45,MATCH(Results!$C145,Teams!$B$5:$B$45,0),3)</f>
        <v>Bear Stadium</v>
      </c>
      <c r="H145" s="151" t="str">
        <f>INDEX(Teams!$B$5:$H$45,MATCH(Results!$C145,Teams!$B$5:$B$45,0),5)</f>
        <v>Big Eight</v>
      </c>
      <c r="I145" s="152" t="str">
        <f>INDEX(Teams!$B$5:$H$45,MATCH(Results!$C145,Teams!$B$5:$B$45,0),6)</f>
        <v>TIMC</v>
      </c>
      <c r="J145" s="152" t="str">
        <f>INDEX(Teams!$B$5:$H$45,MATCH(Results!$F145,Teams!$B$5:$B$45,0),6)</f>
        <v>RELK</v>
      </c>
      <c r="K145" s="69" t="str">
        <f t="shared" si="22"/>
        <v>TIMCRELK</v>
      </c>
      <c r="L145" s="68" t="str">
        <f t="shared" si="23"/>
        <v>TIMC</v>
      </c>
      <c r="M145" s="68">
        <f t="shared" si="24"/>
        <v>1</v>
      </c>
      <c r="N145" s="68">
        <f t="shared" si="25"/>
        <v>40</v>
      </c>
      <c r="O145" s="68" t="str">
        <f t="shared" si="26"/>
        <v>Home</v>
      </c>
      <c r="P145" s="68" t="str">
        <f t="shared" si="27"/>
        <v>TIMC8</v>
      </c>
      <c r="Q145" s="68" t="str">
        <f t="shared" si="28"/>
        <v>RELK8</v>
      </c>
      <c r="R145" s="68" t="e">
        <f>INDEX(RankPoints!$B$4:$AK$19,$B145+1,MATCH(Results!$I145,RankPoints!$B$4:$AK$4,0))</f>
        <v>#N/A</v>
      </c>
      <c r="S145" s="68" t="e">
        <f>INDEX(RankPoints!$B$4:$AK$19,$B145+1,MATCH(Results!$J145,RankPoints!$B$4:$AK$4,0))</f>
        <v>#N/A</v>
      </c>
      <c r="T145" s="68">
        <f t="shared" si="29"/>
        <v>1</v>
      </c>
      <c r="U145" s="155">
        <f t="shared" si="30"/>
        <v>0</v>
      </c>
      <c r="V145" s="156" t="e">
        <f>1/(1+(10^($X145/'[1]Teams'!$F$3)))</f>
        <v>#N/A</v>
      </c>
      <c r="W145" s="157" t="e">
        <f>1/(1+(10^($Y145/'[1]Teams'!$F$3)))</f>
        <v>#N/A</v>
      </c>
      <c r="X145" s="68" t="e">
        <f t="shared" si="31"/>
        <v>#N/A</v>
      </c>
      <c r="Y145" s="155" t="e">
        <f t="shared" si="32"/>
        <v>#N/A</v>
      </c>
      <c r="Z145" s="68" t="e">
        <f>ROUND($R145+(Teams!$H$2*($T145-$V145)),0)</f>
        <v>#N/A</v>
      </c>
      <c r="AA145" s="158" t="e">
        <f>ROUND($S145+(Teams!$H$2*($U145-$W145)),0)</f>
        <v>#N/A</v>
      </c>
    </row>
    <row r="146" spans="2:27" ht="12.75">
      <c r="B146" s="158">
        <v>8</v>
      </c>
      <c r="C146" s="216" t="s">
        <v>76</v>
      </c>
      <c r="D146" s="171">
        <v>21</v>
      </c>
      <c r="E146" s="175">
        <v>13</v>
      </c>
      <c r="F146" s="221" t="s">
        <v>77</v>
      </c>
      <c r="G146" s="151" t="str">
        <f>INDEX(Teams!$B$5:$H$45,MATCH(Results!$C146,Teams!$B$5:$B$45,0),3)</f>
        <v>Bronco Stadium</v>
      </c>
      <c r="H146" s="151" t="str">
        <f>INDEX(Teams!$B$5:$H$45,MATCH(Results!$C146,Teams!$B$5:$B$45,0),5)</f>
        <v>Big Eight</v>
      </c>
      <c r="I146" s="152" t="str">
        <f>INDEX(Teams!$B$5:$H$45,MATCH(Results!$C146,Teams!$B$5:$B$45,0),6)</f>
        <v>SCTT</v>
      </c>
      <c r="J146" s="152" t="str">
        <f>INDEX(Teams!$B$5:$H$45,MATCH(Results!$F146,Teams!$B$5:$B$45,0),6)</f>
        <v>SAUG</v>
      </c>
      <c r="K146" s="69" t="str">
        <f t="shared" si="22"/>
        <v>SCTTSAUG</v>
      </c>
      <c r="L146" s="68" t="str">
        <f t="shared" si="23"/>
        <v>SCTT</v>
      </c>
      <c r="M146" s="68">
        <f t="shared" si="24"/>
        <v>1</v>
      </c>
      <c r="N146" s="68">
        <f t="shared" si="25"/>
        <v>8</v>
      </c>
      <c r="O146" s="68" t="str">
        <f t="shared" si="26"/>
        <v>Home</v>
      </c>
      <c r="P146" s="68" t="str">
        <f t="shared" si="27"/>
        <v>SCTT8</v>
      </c>
      <c r="Q146" s="68" t="str">
        <f t="shared" si="28"/>
        <v>SAUG8</v>
      </c>
      <c r="R146" s="68">
        <f>INDEX(RankPoints!$B$4:$AK$19,$B146+1,MATCH(Results!$I146,RankPoints!$B$4:$AK$4,0))</f>
        <v>0</v>
      </c>
      <c r="S146" s="68">
        <f>INDEX(RankPoints!$B$4:$AK$19,$B146+1,MATCH(Results!$J146,RankPoints!$B$4:$AK$4,0))</f>
        <v>1651</v>
      </c>
      <c r="T146" s="68">
        <f t="shared" si="29"/>
        <v>1</v>
      </c>
      <c r="U146" s="155">
        <f t="shared" si="30"/>
        <v>0</v>
      </c>
      <c r="V146" s="156">
        <f>1/(1+(10^($X146/'[1]Teams'!$F$3)))</f>
        <v>0.9999254465714252</v>
      </c>
      <c r="W146" s="157">
        <f>1/(1+(10^($Y146/'[1]Teams'!$F$3)))</f>
        <v>7.455342857465103E-05</v>
      </c>
      <c r="X146" s="68">
        <f t="shared" si="31"/>
        <v>-1651</v>
      </c>
      <c r="Y146" s="155">
        <f t="shared" si="32"/>
        <v>1651</v>
      </c>
      <c r="Z146" s="68">
        <f>ROUND($R146+(Teams!$H$2*($T146-$V146)),0)</f>
        <v>0</v>
      </c>
      <c r="AA146" s="158">
        <f>ROUND($S146+(Teams!$H$2*($U146-$W146)),0)</f>
        <v>1651</v>
      </c>
    </row>
    <row r="147" spans="2:27" ht="12.75">
      <c r="B147" s="158">
        <v>8</v>
      </c>
      <c r="C147" s="216" t="s">
        <v>248</v>
      </c>
      <c r="D147" s="171">
        <v>27</v>
      </c>
      <c r="E147" s="175">
        <v>3</v>
      </c>
      <c r="F147" s="221" t="s">
        <v>145</v>
      </c>
      <c r="G147" s="151" t="str">
        <f>INDEX(Teams!$B$5:$H$45,MATCH(Results!$C147,Teams!$B$5:$B$45,0),3)</f>
        <v>Dorrel Stadium</v>
      </c>
      <c r="H147" s="151" t="str">
        <f>INDEX(Teams!$B$5:$H$45,MATCH(Results!$C147,Teams!$B$5:$B$45,0),5)</f>
        <v>Horizon</v>
      </c>
      <c r="I147" s="152" t="str">
        <f>INDEX(Teams!$B$5:$H$45,MATCH(Results!$C147,Teams!$B$5:$B$45,0),6)</f>
        <v>COLD</v>
      </c>
      <c r="J147" s="152" t="str">
        <f>INDEX(Teams!$B$5:$H$45,MATCH(Results!$F147,Teams!$B$5:$B$45,0),6)</f>
        <v>INDN</v>
      </c>
      <c r="K147" s="69" t="str">
        <f t="shared" si="22"/>
        <v>COLDINDN</v>
      </c>
      <c r="L147" s="68" t="str">
        <f t="shared" si="23"/>
        <v>COLD</v>
      </c>
      <c r="M147" s="68">
        <f t="shared" si="24"/>
        <v>1</v>
      </c>
      <c r="N147" s="68">
        <f t="shared" si="25"/>
        <v>24</v>
      </c>
      <c r="O147" s="68" t="str">
        <f t="shared" si="26"/>
        <v>Home</v>
      </c>
      <c r="P147" s="68" t="str">
        <f t="shared" si="27"/>
        <v>COLD8</v>
      </c>
      <c r="Q147" s="68" t="str">
        <f t="shared" si="28"/>
        <v>INDN8</v>
      </c>
      <c r="R147" s="68">
        <f>INDEX(RankPoints!$B$4:$AK$19,$B147+1,MATCH(Results!$I147,RankPoints!$B$4:$AK$4,0))</f>
        <v>-1255</v>
      </c>
      <c r="S147" s="68" t="e">
        <f>INDEX(RankPoints!$B$4:$AK$19,$B147+1,MATCH(Results!$J147,RankPoints!$B$4:$AK$4,0))</f>
        <v>#N/A</v>
      </c>
      <c r="T147" s="68">
        <f t="shared" si="29"/>
        <v>1</v>
      </c>
      <c r="U147" s="155">
        <f t="shared" si="30"/>
        <v>0</v>
      </c>
      <c r="V147" s="156" t="e">
        <f>1/(1+(10^($X147/'[1]Teams'!$F$3)))</f>
        <v>#N/A</v>
      </c>
      <c r="W147" s="157" t="e">
        <f>1/(1+(10^($Y147/'[1]Teams'!$F$3)))</f>
        <v>#N/A</v>
      </c>
      <c r="X147" s="68" t="e">
        <f t="shared" si="31"/>
        <v>#N/A</v>
      </c>
      <c r="Y147" s="155" t="e">
        <f t="shared" si="32"/>
        <v>#N/A</v>
      </c>
      <c r="Z147" s="68" t="e">
        <f>ROUND($R147+(Teams!$H$2*($T147-$V147)),0)</f>
        <v>#N/A</v>
      </c>
      <c r="AA147" s="158" t="e">
        <f>ROUND($S147+(Teams!$H$2*($U147-$W147)),0)</f>
        <v>#N/A</v>
      </c>
    </row>
    <row r="148" spans="2:27" ht="12.75">
      <c r="B148" s="158">
        <v>8</v>
      </c>
      <c r="C148" s="216" t="s">
        <v>157</v>
      </c>
      <c r="D148" s="171">
        <v>7</v>
      </c>
      <c r="E148" s="175">
        <v>23</v>
      </c>
      <c r="F148" s="221" t="s">
        <v>20</v>
      </c>
      <c r="G148" s="151" t="str">
        <f>INDEX(Teams!$B$5:$H$45,MATCH(Results!$C148,Teams!$B$5:$B$45,0),3)</f>
        <v>Badger Stadium</v>
      </c>
      <c r="H148" s="151" t="str">
        <f>INDEX(Teams!$B$5:$H$45,MATCH(Results!$C148,Teams!$B$5:$B$45,0),5)</f>
        <v>Horizon</v>
      </c>
      <c r="I148" s="152" t="str">
        <f>INDEX(Teams!$B$5:$H$45,MATCH(Results!$C148,Teams!$B$5:$B$45,0),6)</f>
        <v>WIEN</v>
      </c>
      <c r="J148" s="152" t="str">
        <f>INDEX(Teams!$B$5:$H$45,MATCH(Results!$F148,Teams!$B$5:$B$45,0),6)</f>
        <v>RCU</v>
      </c>
      <c r="K148" s="69" t="str">
        <f t="shared" si="22"/>
        <v>WIENRCU</v>
      </c>
      <c r="L148" s="68" t="str">
        <f t="shared" si="23"/>
        <v>RCU</v>
      </c>
      <c r="M148" s="68">
        <f t="shared" si="24"/>
        <v>1</v>
      </c>
      <c r="N148" s="68">
        <f t="shared" si="25"/>
        <v>16</v>
      </c>
      <c r="O148" s="68" t="str">
        <f t="shared" si="26"/>
        <v>Away</v>
      </c>
      <c r="P148" s="68" t="str">
        <f t="shared" si="27"/>
        <v>WIEN8</v>
      </c>
      <c r="Q148" s="68" t="str">
        <f t="shared" si="28"/>
        <v>RCU8</v>
      </c>
      <c r="R148" s="68" t="e">
        <f>INDEX(RankPoints!$B$4:$AK$19,$B148+1,MATCH(Results!$I148,RankPoints!$B$4:$AK$4,0))</f>
        <v>#N/A</v>
      </c>
      <c r="S148" s="68">
        <f>INDEX(RankPoints!$B$4:$AK$19,$B148+1,MATCH(Results!$J148,RankPoints!$B$4:$AK$4,0))</f>
        <v>1380</v>
      </c>
      <c r="T148" s="68">
        <f t="shared" si="29"/>
        <v>0</v>
      </c>
      <c r="U148" s="155">
        <f t="shared" si="30"/>
        <v>1</v>
      </c>
      <c r="V148" s="156" t="e">
        <f>1/(1+(10^($X148/'[1]Teams'!$F$3)))</f>
        <v>#N/A</v>
      </c>
      <c r="W148" s="157" t="e">
        <f>1/(1+(10^($Y148/'[1]Teams'!$F$3)))</f>
        <v>#N/A</v>
      </c>
      <c r="X148" s="68" t="e">
        <f t="shared" si="31"/>
        <v>#N/A</v>
      </c>
      <c r="Y148" s="155" t="e">
        <f t="shared" si="32"/>
        <v>#N/A</v>
      </c>
      <c r="Z148" s="68" t="e">
        <f>ROUND($R148+(Teams!$H$2*($T148-$V148)),0)</f>
        <v>#N/A</v>
      </c>
      <c r="AA148" s="158" t="e">
        <f>ROUND($S148+(Teams!$H$2*($U148-$W148)),0)</f>
        <v>#N/A</v>
      </c>
    </row>
    <row r="149" spans="2:27" ht="12.75">
      <c r="B149" s="158">
        <v>8</v>
      </c>
      <c r="C149" s="216" t="s">
        <v>149</v>
      </c>
      <c r="D149" s="171">
        <v>9</v>
      </c>
      <c r="E149" s="175">
        <v>24</v>
      </c>
      <c r="F149" s="221" t="s">
        <v>153</v>
      </c>
      <c r="G149" s="151" t="str">
        <f>INDEX(Teams!$B$5:$H$45,MATCH(Results!$C149,Teams!$B$5:$B$45,0),3)</f>
        <v>The Field of Industry</v>
      </c>
      <c r="H149" s="151" t="str">
        <f>INDEX(Teams!$B$5:$H$45,MATCH(Results!$C149,Teams!$B$5:$B$45,0),5)</f>
        <v>Horizon</v>
      </c>
      <c r="I149" s="152" t="str">
        <f>INDEX(Teams!$B$5:$H$45,MATCH(Results!$C149,Teams!$B$5:$B$45,0),6)</f>
        <v>USPN</v>
      </c>
      <c r="J149" s="152" t="str">
        <f>INDEX(Teams!$B$5:$H$45,MATCH(Results!$F149,Teams!$B$5:$B$45,0),6)</f>
        <v>RSTU</v>
      </c>
      <c r="K149" s="69" t="str">
        <f t="shared" si="22"/>
        <v>USPNRSTU</v>
      </c>
      <c r="L149" s="68" t="str">
        <f t="shared" si="23"/>
        <v>RSTU</v>
      </c>
      <c r="M149" s="68">
        <f t="shared" si="24"/>
        <v>1</v>
      </c>
      <c r="N149" s="68">
        <f t="shared" si="25"/>
        <v>15</v>
      </c>
      <c r="O149" s="68" t="str">
        <f t="shared" si="26"/>
        <v>Away</v>
      </c>
      <c r="P149" s="68" t="str">
        <f t="shared" si="27"/>
        <v>USPN8</v>
      </c>
      <c r="Q149" s="68" t="str">
        <f t="shared" si="28"/>
        <v>RSTU8</v>
      </c>
      <c r="R149" s="68" t="e">
        <f>INDEX(RankPoints!$B$4:$AK$19,$B149+1,MATCH(Results!$I149,RankPoints!$B$4:$AK$4,0))</f>
        <v>#N/A</v>
      </c>
      <c r="S149" s="68" t="e">
        <f>INDEX(RankPoints!$B$4:$AK$19,$B149+1,MATCH(Results!$J149,RankPoints!$B$4:$AK$4,0))</f>
        <v>#N/A</v>
      </c>
      <c r="T149" s="68">
        <f t="shared" si="29"/>
        <v>0</v>
      </c>
      <c r="U149" s="155">
        <f t="shared" si="30"/>
        <v>1</v>
      </c>
      <c r="V149" s="156" t="e">
        <f>1/(1+(10^($X149/'[1]Teams'!$F$3)))</f>
        <v>#N/A</v>
      </c>
      <c r="W149" s="157" t="e">
        <f>1/(1+(10^($Y149/'[1]Teams'!$F$3)))</f>
        <v>#N/A</v>
      </c>
      <c r="X149" s="68" t="e">
        <f t="shared" si="31"/>
        <v>#N/A</v>
      </c>
      <c r="Y149" s="155" t="e">
        <f t="shared" si="32"/>
        <v>#N/A</v>
      </c>
      <c r="Z149" s="68" t="e">
        <f>ROUND($R149+(Teams!$H$2*($T149-$V149)),0)</f>
        <v>#N/A</v>
      </c>
      <c r="AA149" s="158" t="e">
        <f>ROUND($S149+(Teams!$H$2*($U149-$W149)),0)</f>
        <v>#N/A</v>
      </c>
    </row>
    <row r="150" spans="2:27" ht="12.75">
      <c r="B150" s="158">
        <v>8</v>
      </c>
      <c r="C150" s="216" t="s">
        <v>151</v>
      </c>
      <c r="D150" s="171">
        <v>3</v>
      </c>
      <c r="E150" s="175">
        <v>13</v>
      </c>
      <c r="F150" s="221" t="s">
        <v>21</v>
      </c>
      <c r="G150" s="151" t="str">
        <f>INDEX(Teams!$B$5:$H$45,MATCH(Results!$C150,Teams!$B$5:$B$45,0),3)</f>
        <v>Olympic Stadiums</v>
      </c>
      <c r="H150" s="151" t="str">
        <f>INDEX(Teams!$B$5:$H$45,MATCH(Results!$C150,Teams!$B$5:$B$45,0),5)</f>
        <v>Horizon</v>
      </c>
      <c r="I150" s="152" t="str">
        <f>INDEX(Teams!$B$5:$H$45,MATCH(Results!$C150,Teams!$B$5:$B$45,0),6)</f>
        <v>OLYM</v>
      </c>
      <c r="J150" s="152" t="str">
        <f>INDEX(Teams!$B$5:$H$45,MATCH(Results!$F150,Teams!$B$5:$B$45,0),6)</f>
        <v>STON</v>
      </c>
      <c r="K150" s="69" t="str">
        <f t="shared" si="22"/>
        <v>OLYMSTON</v>
      </c>
      <c r="L150" s="68" t="str">
        <f t="shared" si="23"/>
        <v>STON</v>
      </c>
      <c r="M150" s="68">
        <f t="shared" si="24"/>
        <v>1</v>
      </c>
      <c r="N150" s="68">
        <f t="shared" si="25"/>
        <v>10</v>
      </c>
      <c r="O150" s="68" t="str">
        <f t="shared" si="26"/>
        <v>Away</v>
      </c>
      <c r="P150" s="68" t="str">
        <f t="shared" si="27"/>
        <v>OLYM8</v>
      </c>
      <c r="Q150" s="68" t="str">
        <f t="shared" si="28"/>
        <v>STON8</v>
      </c>
      <c r="R150" s="68" t="e">
        <f>INDEX(RankPoints!$B$4:$AK$19,$B150+1,MATCH(Results!$I150,RankPoints!$B$4:$AK$4,0))</f>
        <v>#N/A</v>
      </c>
      <c r="S150" s="68">
        <f>INDEX(RankPoints!$B$4:$AK$19,$B150+1,MATCH(Results!$J150,RankPoints!$B$4:$AK$4,0))</f>
        <v>2850</v>
      </c>
      <c r="T150" s="68">
        <f t="shared" si="29"/>
        <v>0</v>
      </c>
      <c r="U150" s="155">
        <f t="shared" si="30"/>
        <v>1</v>
      </c>
      <c r="V150" s="156" t="e">
        <f>1/(1+(10^($X150/'[1]Teams'!$F$3)))</f>
        <v>#N/A</v>
      </c>
      <c r="W150" s="157" t="e">
        <f>1/(1+(10^($Y150/'[1]Teams'!$F$3)))</f>
        <v>#N/A</v>
      </c>
      <c r="X150" s="68" t="e">
        <f t="shared" si="31"/>
        <v>#N/A</v>
      </c>
      <c r="Y150" s="155" t="e">
        <f t="shared" si="32"/>
        <v>#N/A</v>
      </c>
      <c r="Z150" s="68" t="e">
        <f>ROUND($R150+(Teams!$H$2*($T150-$V150)),0)</f>
        <v>#N/A</v>
      </c>
      <c r="AA150" s="158" t="e">
        <f>ROUND($S150+(Teams!$H$2*($U150-$W150)),0)</f>
        <v>#N/A</v>
      </c>
    </row>
    <row r="151" spans="2:27" ht="12.75">
      <c r="B151" s="158">
        <v>8</v>
      </c>
      <c r="C151" s="216" t="s">
        <v>121</v>
      </c>
      <c r="D151" s="171">
        <v>9</v>
      </c>
      <c r="E151" s="175">
        <v>10</v>
      </c>
      <c r="F151" s="221" t="s">
        <v>156</v>
      </c>
      <c r="G151" s="151" t="str">
        <f>INDEX(Teams!$B$5:$H$45,MATCH(Results!$C151,Teams!$B$5:$B$45,0),3)</f>
        <v>P. K. Morgan &amp; Sons Field</v>
      </c>
      <c r="H151" s="151" t="str">
        <f>INDEX(Teams!$B$5:$H$45,MATCH(Results!$C151,Teams!$B$5:$B$45,0),5)</f>
        <v>Mineral</v>
      </c>
      <c r="I151" s="152" t="str">
        <f>INDEX(Teams!$B$5:$H$45,MATCH(Results!$C151,Teams!$B$5:$B$45,0),6)</f>
        <v>CRGA</v>
      </c>
      <c r="J151" s="152" t="str">
        <f>INDEX(Teams!$B$5:$H$45,MATCH(Results!$F151,Teams!$B$5:$B$45,0),6)</f>
        <v>BLUE</v>
      </c>
      <c r="K151" s="69" t="str">
        <f t="shared" si="22"/>
        <v>CRGABLUE</v>
      </c>
      <c r="L151" s="68" t="str">
        <f t="shared" si="23"/>
        <v>BLUE</v>
      </c>
      <c r="M151" s="68">
        <f t="shared" si="24"/>
        <v>1</v>
      </c>
      <c r="N151" s="68">
        <f t="shared" si="25"/>
        <v>1</v>
      </c>
      <c r="O151" s="68" t="str">
        <f t="shared" si="26"/>
        <v>Away</v>
      </c>
      <c r="P151" s="68" t="str">
        <f t="shared" si="27"/>
        <v>CRGA8</v>
      </c>
      <c r="Q151" s="68" t="str">
        <f t="shared" si="28"/>
        <v>BLUE8</v>
      </c>
      <c r="R151" s="68" t="e">
        <f>INDEX(RankPoints!$B$4:$AK$19,$B151+1,MATCH(Results!$I151,RankPoints!$B$4:$AK$4,0))</f>
        <v>#N/A</v>
      </c>
      <c r="S151" s="68" t="e">
        <f>INDEX(RankPoints!$B$4:$AK$19,$B151+1,MATCH(Results!$J151,RankPoints!$B$4:$AK$4,0))</f>
        <v>#N/A</v>
      </c>
      <c r="T151" s="68">
        <f t="shared" si="29"/>
        <v>0</v>
      </c>
      <c r="U151" s="155">
        <f t="shared" si="30"/>
        <v>1</v>
      </c>
      <c r="V151" s="156" t="e">
        <f>1/(1+(10^($X151/'[1]Teams'!$F$3)))</f>
        <v>#N/A</v>
      </c>
      <c r="W151" s="157" t="e">
        <f>1/(1+(10^($Y151/'[1]Teams'!$F$3)))</f>
        <v>#N/A</v>
      </c>
      <c r="X151" s="68" t="e">
        <f t="shared" si="31"/>
        <v>#N/A</v>
      </c>
      <c r="Y151" s="155" t="e">
        <f t="shared" si="32"/>
        <v>#N/A</v>
      </c>
      <c r="Z151" s="68" t="e">
        <f>ROUND($R151+(Teams!$H$2*($T151-$V151)),0)</f>
        <v>#N/A</v>
      </c>
      <c r="AA151" s="158" t="e">
        <f>ROUND($S151+(Teams!$H$2*($U151-$W151)),0)</f>
        <v>#N/A</v>
      </c>
    </row>
    <row r="152" spans="2:27" ht="12.75">
      <c r="B152" s="158">
        <v>8</v>
      </c>
      <c r="C152" s="216" t="s">
        <v>80</v>
      </c>
      <c r="D152" s="171">
        <v>29</v>
      </c>
      <c r="E152" s="175">
        <v>3</v>
      </c>
      <c r="F152" s="221" t="s">
        <v>155</v>
      </c>
      <c r="G152" s="151" t="str">
        <f>INDEX(Teams!$B$5:$H$45,MATCH(Results!$C152,Teams!$B$5:$B$45,0),3)</f>
        <v>Orange Bowl</v>
      </c>
      <c r="H152" s="151" t="str">
        <f>INDEX(Teams!$B$5:$H$45,MATCH(Results!$C152,Teams!$B$5:$B$45,0),5)</f>
        <v>Mineral</v>
      </c>
      <c r="I152" s="152" t="str">
        <f>INDEX(Teams!$B$5:$H$45,MATCH(Results!$C152,Teams!$B$5:$B$45,0),6)</f>
        <v>OCSU</v>
      </c>
      <c r="J152" s="152" t="str">
        <f>INDEX(Teams!$B$5:$H$45,MATCH(Results!$F152,Teams!$B$5:$B$45,0),6)</f>
        <v>EKIL</v>
      </c>
      <c r="K152" s="69" t="str">
        <f t="shared" si="22"/>
        <v>OCSUEKIL</v>
      </c>
      <c r="L152" s="68" t="str">
        <f t="shared" si="23"/>
        <v>OCSU</v>
      </c>
      <c r="M152" s="68">
        <f t="shared" si="24"/>
        <v>1</v>
      </c>
      <c r="N152" s="68">
        <f t="shared" si="25"/>
        <v>26</v>
      </c>
      <c r="O152" s="68" t="str">
        <f t="shared" si="26"/>
        <v>Home</v>
      </c>
      <c r="P152" s="68" t="str">
        <f t="shared" si="27"/>
        <v>OCSU8</v>
      </c>
      <c r="Q152" s="68" t="str">
        <f t="shared" si="28"/>
        <v>EKIL8</v>
      </c>
      <c r="R152" s="68">
        <f>INDEX(RankPoints!$B$4:$AK$19,$B152+1,MATCH(Results!$I152,RankPoints!$B$4:$AK$4,0))</f>
        <v>1516</v>
      </c>
      <c r="S152" s="68" t="e">
        <f>INDEX(RankPoints!$B$4:$AK$19,$B152+1,MATCH(Results!$J152,RankPoints!$B$4:$AK$4,0))</f>
        <v>#N/A</v>
      </c>
      <c r="T152" s="68">
        <f t="shared" si="29"/>
        <v>1</v>
      </c>
      <c r="U152" s="155">
        <f t="shared" si="30"/>
        <v>0</v>
      </c>
      <c r="V152" s="156" t="e">
        <f>1/(1+(10^($X152/'[1]Teams'!$F$3)))</f>
        <v>#N/A</v>
      </c>
      <c r="W152" s="157" t="e">
        <f>1/(1+(10^($Y152/'[1]Teams'!$F$3)))</f>
        <v>#N/A</v>
      </c>
      <c r="X152" s="68" t="e">
        <f t="shared" si="31"/>
        <v>#N/A</v>
      </c>
      <c r="Y152" s="155" t="e">
        <f t="shared" si="32"/>
        <v>#N/A</v>
      </c>
      <c r="Z152" s="68" t="e">
        <f>ROUND($R152+(Teams!$H$2*($T152-$V152)),0)</f>
        <v>#N/A</v>
      </c>
      <c r="AA152" s="158" t="e">
        <f>ROUND($S152+(Teams!$H$2*($U152-$W152)),0)</f>
        <v>#N/A</v>
      </c>
    </row>
    <row r="153" spans="2:27" ht="12.75">
      <c r="B153" s="158">
        <v>8</v>
      </c>
      <c r="C153" s="216" t="s">
        <v>146</v>
      </c>
      <c r="D153" s="171">
        <v>13</v>
      </c>
      <c r="E153" s="175">
        <v>9</v>
      </c>
      <c r="F153" s="221" t="s">
        <v>150</v>
      </c>
      <c r="G153" s="151" t="str">
        <f>INDEX(Teams!$B$5:$H$45,MATCH(Results!$C153,Teams!$B$5:$B$45,0),3)</f>
        <v>Bryan-Hall Stadium</v>
      </c>
      <c r="H153" s="151" t="str">
        <f>INDEX(Teams!$B$5:$H$45,MATCH(Results!$C153,Teams!$B$5:$B$45,0),5)</f>
        <v>Mineral</v>
      </c>
      <c r="I153" s="152" t="str">
        <f>INDEX(Teams!$B$5:$H$45,MATCH(Results!$C153,Teams!$B$5:$B$45,0),6)</f>
        <v>WSIT</v>
      </c>
      <c r="J153" s="152" t="str">
        <f>INDEX(Teams!$B$5:$H$45,MATCH(Results!$F153,Teams!$B$5:$B$45,0),6)</f>
        <v>RICH</v>
      </c>
      <c r="K153" s="69" t="str">
        <f t="shared" si="22"/>
        <v>WSITRICH</v>
      </c>
      <c r="L153" s="68" t="str">
        <f t="shared" si="23"/>
        <v>WSIT</v>
      </c>
      <c r="M153" s="68">
        <f t="shared" si="24"/>
        <v>1</v>
      </c>
      <c r="N153" s="68">
        <f t="shared" si="25"/>
        <v>4</v>
      </c>
      <c r="O153" s="68" t="str">
        <f t="shared" si="26"/>
        <v>Home</v>
      </c>
      <c r="P153" s="68" t="str">
        <f t="shared" si="27"/>
        <v>WSIT8</v>
      </c>
      <c r="Q153" s="68" t="str">
        <f t="shared" si="28"/>
        <v>RICH8</v>
      </c>
      <c r="R153" s="68" t="e">
        <f>INDEX(RankPoints!$B$4:$AK$19,$B153+1,MATCH(Results!$I153,RankPoints!$B$4:$AK$4,0))</f>
        <v>#N/A</v>
      </c>
      <c r="S153" s="68" t="e">
        <f>INDEX(RankPoints!$B$4:$AK$19,$B153+1,MATCH(Results!$J153,RankPoints!$B$4:$AK$4,0))</f>
        <v>#N/A</v>
      </c>
      <c r="T153" s="68">
        <f t="shared" si="29"/>
        <v>1</v>
      </c>
      <c r="U153" s="155">
        <f t="shared" si="30"/>
        <v>0</v>
      </c>
      <c r="V153" s="156" t="e">
        <f>1/(1+(10^($X153/'[1]Teams'!$F$3)))</f>
        <v>#N/A</v>
      </c>
      <c r="W153" s="157" t="e">
        <f>1/(1+(10^($Y153/'[1]Teams'!$F$3)))</f>
        <v>#N/A</v>
      </c>
      <c r="X153" s="68" t="e">
        <f t="shared" si="31"/>
        <v>#N/A</v>
      </c>
      <c r="Y153" s="155" t="e">
        <f t="shared" si="32"/>
        <v>#N/A</v>
      </c>
      <c r="Z153" s="68" t="e">
        <f>ROUND($R153+(Teams!$H$2*($T153-$V153)),0)</f>
        <v>#N/A</v>
      </c>
      <c r="AA153" s="158" t="e">
        <f>ROUND($S153+(Teams!$H$2*($U153-$W153)),0)</f>
        <v>#N/A</v>
      </c>
    </row>
    <row r="154" spans="2:27" ht="12.75">
      <c r="B154" s="158">
        <v>8</v>
      </c>
      <c r="C154" s="216" t="s">
        <v>251</v>
      </c>
      <c r="D154" s="171">
        <v>0</v>
      </c>
      <c r="E154" s="175">
        <v>3</v>
      </c>
      <c r="F154" s="221" t="s">
        <v>266</v>
      </c>
      <c r="G154" s="151" t="str">
        <f>INDEX(Teams!$B$5:$H$45,MATCH(Results!$C154,Teams!$B$5:$B$45,0),3)</f>
        <v>The Nest of Fire</v>
      </c>
      <c r="H154" s="151" t="str">
        <f>INDEX(Teams!$B$5:$H$45,MATCH(Results!$C154,Teams!$B$5:$B$45,0),5)</f>
        <v>Mineral</v>
      </c>
      <c r="I154" s="152" t="str">
        <f>INDEX(Teams!$B$5:$H$45,MATCH(Results!$C154,Teams!$B$5:$B$45,0),6)</f>
        <v>HRLP</v>
      </c>
      <c r="J154" s="152" t="str">
        <f>INDEX(Teams!$B$5:$H$45,MATCH(Results!$F154,Teams!$B$5:$B$45,0),6)</f>
        <v>UPSL</v>
      </c>
      <c r="K154" s="69" t="str">
        <f t="shared" si="22"/>
        <v>HRLPUPSL</v>
      </c>
      <c r="L154" s="68" t="str">
        <f t="shared" si="23"/>
        <v>UPSL</v>
      </c>
      <c r="M154" s="68">
        <f t="shared" si="24"/>
        <v>1</v>
      </c>
      <c r="N154" s="68">
        <f t="shared" si="25"/>
        <v>3</v>
      </c>
      <c r="O154" s="68" t="str">
        <f t="shared" si="26"/>
        <v>Away</v>
      </c>
      <c r="P154" s="68" t="str">
        <f t="shared" si="27"/>
        <v>HRLP8</v>
      </c>
      <c r="Q154" s="68" t="str">
        <f t="shared" si="28"/>
        <v>UPSL8</v>
      </c>
      <c r="R154" s="68" t="e">
        <f>INDEX(RankPoints!$B$4:$AK$19,$B154+1,MATCH(Results!$I154,RankPoints!$B$4:$AK$4,0))</f>
        <v>#N/A</v>
      </c>
      <c r="S154" s="68">
        <f>INDEX(RankPoints!$B$4:$AK$19,$B154+1,MATCH(Results!$J154,RankPoints!$B$4:$AK$4,0))</f>
        <v>0</v>
      </c>
      <c r="T154" s="68">
        <f t="shared" si="29"/>
        <v>0</v>
      </c>
      <c r="U154" s="155">
        <f t="shared" si="30"/>
        <v>1</v>
      </c>
      <c r="V154" s="156" t="e">
        <f>1/(1+(10^($X154/'[1]Teams'!$F$3)))</f>
        <v>#N/A</v>
      </c>
      <c r="W154" s="157" t="e">
        <f>1/(1+(10^($Y154/'[1]Teams'!$F$3)))</f>
        <v>#N/A</v>
      </c>
      <c r="X154" s="68" t="e">
        <f t="shared" si="31"/>
        <v>#N/A</v>
      </c>
      <c r="Y154" s="155" t="e">
        <f t="shared" si="32"/>
        <v>#N/A</v>
      </c>
      <c r="Z154" s="68" t="e">
        <f>ROUND($R154+(Teams!$H$2*($T154-$V154)),0)</f>
        <v>#N/A</v>
      </c>
      <c r="AA154" s="158" t="e">
        <f>ROUND($S154+(Teams!$H$2*($U154-$W154)),0)</f>
        <v>#N/A</v>
      </c>
    </row>
    <row r="155" spans="2:27" ht="12.75">
      <c r="B155" s="158">
        <v>8</v>
      </c>
      <c r="C155" s="216" t="s">
        <v>269</v>
      </c>
      <c r="D155" s="171">
        <v>13</v>
      </c>
      <c r="E155" s="175">
        <v>3</v>
      </c>
      <c r="F155" s="221" t="s">
        <v>265</v>
      </c>
      <c r="G155" s="151" t="str">
        <f>INDEX(Teams!$B$5:$H$45,MATCH(Results!$C155,Teams!$B$5:$B$45,0),3)</f>
        <v>St John's Castle</v>
      </c>
      <c r="H155" s="151" t="str">
        <f>INDEX(Teams!$B$5:$H$45,MATCH(Results!$C155,Teams!$B$5:$B$45,0),5)</f>
        <v>Sequoia</v>
      </c>
      <c r="I155" s="152" t="str">
        <f>INDEX(Teams!$B$5:$H$45,MATCH(Results!$C155,Teams!$B$5:$B$45,0),6)</f>
        <v>STJN</v>
      </c>
      <c r="J155" s="152" t="str">
        <f>INDEX(Teams!$B$5:$H$45,MATCH(Results!$F155,Teams!$B$5:$B$45,0),6)</f>
        <v>ACSP</v>
      </c>
      <c r="K155" s="69" t="str">
        <f t="shared" si="22"/>
        <v>STJNACSP</v>
      </c>
      <c r="L155" s="68" t="str">
        <f t="shared" si="23"/>
        <v>STJN</v>
      </c>
      <c r="M155" s="68">
        <f t="shared" si="24"/>
        <v>1</v>
      </c>
      <c r="N155" s="68">
        <f t="shared" si="25"/>
        <v>10</v>
      </c>
      <c r="O155" s="68" t="str">
        <f t="shared" si="26"/>
        <v>Home</v>
      </c>
      <c r="P155" s="68" t="str">
        <f t="shared" si="27"/>
        <v>STJN8</v>
      </c>
      <c r="Q155" s="68" t="str">
        <f t="shared" si="28"/>
        <v>ACSP8</v>
      </c>
      <c r="R155" s="68">
        <f>INDEX(RankPoints!$B$4:$AK$19,$B155+1,MATCH(Results!$I155,RankPoints!$B$4:$AK$4,0))</f>
        <v>-3093</v>
      </c>
      <c r="S155" s="68" t="e">
        <f>INDEX(RankPoints!$B$4:$AK$19,$B155+1,MATCH(Results!$J155,RankPoints!$B$4:$AK$4,0))</f>
        <v>#N/A</v>
      </c>
      <c r="T155" s="68">
        <f t="shared" si="29"/>
        <v>1</v>
      </c>
      <c r="U155" s="155">
        <f t="shared" si="30"/>
        <v>0</v>
      </c>
      <c r="V155" s="156" t="e">
        <f>1/(1+(10^($X155/'[1]Teams'!$F$3)))</f>
        <v>#N/A</v>
      </c>
      <c r="W155" s="157" t="e">
        <f>1/(1+(10^($Y155/'[1]Teams'!$F$3)))</f>
        <v>#N/A</v>
      </c>
      <c r="X155" s="68" t="e">
        <f t="shared" si="31"/>
        <v>#N/A</v>
      </c>
      <c r="Y155" s="155" t="e">
        <f t="shared" si="32"/>
        <v>#N/A</v>
      </c>
      <c r="Z155" s="68" t="e">
        <f>ROUND($R155+(Teams!$H$2*($T155-$V155)),0)</f>
        <v>#N/A</v>
      </c>
      <c r="AA155" s="158" t="e">
        <f>ROUND($S155+(Teams!$H$2*($U155-$W155)),0)</f>
        <v>#N/A</v>
      </c>
    </row>
    <row r="156" spans="2:27" ht="12.75">
      <c r="B156" s="158">
        <v>8</v>
      </c>
      <c r="C156" s="216" t="s">
        <v>79</v>
      </c>
      <c r="D156" s="171">
        <v>21</v>
      </c>
      <c r="E156" s="175">
        <v>25</v>
      </c>
      <c r="F156" s="221" t="s">
        <v>117</v>
      </c>
      <c r="G156" s="151" t="str">
        <f>INDEX(Teams!$B$5:$H$45,MATCH(Results!$C156,Teams!$B$5:$B$45,0),3)</f>
        <v>Anatidae Field</v>
      </c>
      <c r="H156" s="151" t="str">
        <f>INDEX(Teams!$B$5:$H$45,MATCH(Results!$C156,Teams!$B$5:$B$45,0),5)</f>
        <v>Sequoia</v>
      </c>
      <c r="I156" s="152" t="str">
        <f>INDEX(Teams!$B$5:$H$45,MATCH(Results!$C156,Teams!$B$5:$B$45,0),6)</f>
        <v>RVMD</v>
      </c>
      <c r="J156" s="152" t="str">
        <f>INDEX(Teams!$B$5:$H$45,MATCH(Results!$F156,Teams!$B$5:$B$45,0),6)</f>
        <v>ALUT</v>
      </c>
      <c r="K156" s="69" t="str">
        <f t="shared" si="22"/>
        <v>RVMDALUT</v>
      </c>
      <c r="L156" s="68" t="str">
        <f t="shared" si="23"/>
        <v>ALUT</v>
      </c>
      <c r="M156" s="68">
        <f t="shared" si="24"/>
        <v>1</v>
      </c>
      <c r="N156" s="68">
        <f t="shared" si="25"/>
        <v>4</v>
      </c>
      <c r="O156" s="68" t="str">
        <f t="shared" si="26"/>
        <v>Away</v>
      </c>
      <c r="P156" s="68" t="str">
        <f t="shared" si="27"/>
        <v>RVMD8</v>
      </c>
      <c r="Q156" s="68" t="str">
        <f t="shared" si="28"/>
        <v>ALUT8</v>
      </c>
      <c r="R156" s="68">
        <f>INDEX(RankPoints!$B$4:$AK$19,$B156+1,MATCH(Results!$I156,RankPoints!$B$4:$AK$4,0))</f>
        <v>1479</v>
      </c>
      <c r="S156" s="68" t="e">
        <f>INDEX(RankPoints!$B$4:$AK$19,$B156+1,MATCH(Results!$J156,RankPoints!$B$4:$AK$4,0))</f>
        <v>#N/A</v>
      </c>
      <c r="T156" s="68">
        <f t="shared" si="29"/>
        <v>0</v>
      </c>
      <c r="U156" s="155">
        <f t="shared" si="30"/>
        <v>1</v>
      </c>
      <c r="V156" s="156" t="e">
        <f>1/(1+(10^($X156/'[1]Teams'!$F$3)))</f>
        <v>#N/A</v>
      </c>
      <c r="W156" s="157" t="e">
        <f>1/(1+(10^($Y156/'[1]Teams'!$F$3)))</f>
        <v>#N/A</v>
      </c>
      <c r="X156" s="68" t="e">
        <f t="shared" si="31"/>
        <v>#N/A</v>
      </c>
      <c r="Y156" s="155" t="e">
        <f t="shared" si="32"/>
        <v>#N/A</v>
      </c>
      <c r="Z156" s="68" t="e">
        <f>ROUND($R156+(Teams!$H$2*($T156-$V156)),0)</f>
        <v>#N/A</v>
      </c>
      <c r="AA156" s="158" t="e">
        <f>ROUND($S156+(Teams!$H$2*($U156-$W156)),0)</f>
        <v>#N/A</v>
      </c>
    </row>
    <row r="157" spans="2:27" ht="12.75">
      <c r="B157" s="158">
        <v>8</v>
      </c>
      <c r="C157" s="216" t="s">
        <v>111</v>
      </c>
      <c r="D157" s="171">
        <v>0</v>
      </c>
      <c r="E157" s="175">
        <v>28</v>
      </c>
      <c r="F157" s="221" t="s">
        <v>19</v>
      </c>
      <c r="G157" s="151" t="str">
        <f>INDEX(Teams!$B$5:$H$45,MATCH(Results!$C157,Teams!$B$5:$B$45,0),3)</f>
        <v>Welcome City Stadium</v>
      </c>
      <c r="H157" s="151" t="str">
        <f>INDEX(Teams!$B$5:$H$45,MATCH(Results!$C157,Teams!$B$5:$B$45,0),5)</f>
        <v>Sequoia</v>
      </c>
      <c r="I157" s="152" t="str">
        <f>INDEX(Teams!$B$5:$H$45,MATCH(Results!$C157,Teams!$B$5:$B$45,0),6)</f>
        <v>NRDN</v>
      </c>
      <c r="J157" s="152" t="str">
        <f>INDEX(Teams!$B$5:$H$45,MATCH(Results!$F157,Teams!$B$5:$B$45,0),6)</f>
        <v>ALZD</v>
      </c>
      <c r="K157" s="69" t="str">
        <f t="shared" si="22"/>
        <v>NRDNALZD</v>
      </c>
      <c r="L157" s="68" t="str">
        <f t="shared" si="23"/>
        <v>ALZD</v>
      </c>
      <c r="M157" s="68">
        <f t="shared" si="24"/>
        <v>1</v>
      </c>
      <c r="N157" s="68">
        <f t="shared" si="25"/>
        <v>28</v>
      </c>
      <c r="O157" s="68" t="str">
        <f t="shared" si="26"/>
        <v>Away</v>
      </c>
      <c r="P157" s="68" t="str">
        <f t="shared" si="27"/>
        <v>NRDN8</v>
      </c>
      <c r="Q157" s="68" t="str">
        <f t="shared" si="28"/>
        <v>ALZD8</v>
      </c>
      <c r="R157" s="68">
        <f>INDEX(RankPoints!$B$4:$AK$19,$B157+1,MATCH(Results!$I157,RankPoints!$B$4:$AK$4,0))</f>
        <v>-85</v>
      </c>
      <c r="S157" s="68">
        <f>INDEX(RankPoints!$B$4:$AK$19,$B157+1,MATCH(Results!$J157,RankPoints!$B$4:$AK$4,0))</f>
        <v>-13</v>
      </c>
      <c r="T157" s="68">
        <f t="shared" si="29"/>
        <v>0</v>
      </c>
      <c r="U157" s="155">
        <f t="shared" si="30"/>
        <v>1</v>
      </c>
      <c r="V157" s="156">
        <f>1/(1+(10^($X157/'[1]Teams'!$F$3)))</f>
        <v>0.6021580931747169</v>
      </c>
      <c r="W157" s="157">
        <f>1/(1+(10^($Y157/'[1]Teams'!$F$3)))</f>
        <v>0.39784190682528303</v>
      </c>
      <c r="X157" s="68">
        <f t="shared" si="31"/>
        <v>-72</v>
      </c>
      <c r="Y157" s="155">
        <f t="shared" si="32"/>
        <v>72</v>
      </c>
      <c r="Z157" s="68">
        <f>ROUND($R157+(Teams!$H$2*($T157-$V157)),0)</f>
        <v>-104</v>
      </c>
      <c r="AA157" s="158">
        <f>ROUND($S157+(Teams!$H$2*($U157-$W157)),0)</f>
        <v>6</v>
      </c>
    </row>
    <row r="158" spans="2:27" ht="12.75">
      <c r="B158" s="158">
        <v>8</v>
      </c>
      <c r="C158" s="216" t="s">
        <v>119</v>
      </c>
      <c r="D158" s="171">
        <v>20</v>
      </c>
      <c r="E158" s="175">
        <v>40</v>
      </c>
      <c r="F158" s="221" t="s">
        <v>112</v>
      </c>
      <c r="G158" s="151" t="str">
        <f>INDEX(Teams!$B$5:$H$45,MATCH(Results!$C158,Teams!$B$5:$B$45,0),3)</f>
        <v>Parah Dome</v>
      </c>
      <c r="H158" s="151" t="str">
        <f>INDEX(Teams!$B$5:$H$45,MATCH(Results!$C158,Teams!$B$5:$B$45,0),5)</f>
        <v>Sequoia</v>
      </c>
      <c r="I158" s="152" t="str">
        <f>INDEX(Teams!$B$5:$H$45,MATCH(Results!$C158,Teams!$B$5:$B$45,0),6)</f>
        <v>NETT</v>
      </c>
      <c r="J158" s="152" t="str">
        <f>INDEX(Teams!$B$5:$H$45,MATCH(Results!$F158,Teams!$B$5:$B$45,0),6)</f>
        <v>FHST</v>
      </c>
      <c r="K158" s="69" t="str">
        <f t="shared" si="22"/>
        <v>NETTFHST</v>
      </c>
      <c r="L158" s="68" t="str">
        <f t="shared" si="23"/>
        <v>FHST</v>
      </c>
      <c r="M158" s="68">
        <f t="shared" si="24"/>
        <v>1</v>
      </c>
      <c r="N158" s="68">
        <f t="shared" si="25"/>
        <v>20</v>
      </c>
      <c r="O158" s="68" t="str">
        <f t="shared" si="26"/>
        <v>Away</v>
      </c>
      <c r="P158" s="68" t="str">
        <f t="shared" si="27"/>
        <v>NETT8</v>
      </c>
      <c r="Q158" s="68" t="str">
        <f t="shared" si="28"/>
        <v>FHST8</v>
      </c>
      <c r="R158" s="68" t="e">
        <f>INDEX(RankPoints!$B$4:$AK$19,$B158+1,MATCH(Results!$I158,RankPoints!$B$4:$AK$4,0))</f>
        <v>#N/A</v>
      </c>
      <c r="S158" s="68">
        <f>INDEX(RankPoints!$B$4:$AK$19,$B158+1,MATCH(Results!$J158,RankPoints!$B$4:$AK$4,0))</f>
        <v>3180</v>
      </c>
      <c r="T158" s="68">
        <f t="shared" si="29"/>
        <v>0</v>
      </c>
      <c r="U158" s="155">
        <f t="shared" si="30"/>
        <v>1</v>
      </c>
      <c r="V158" s="156" t="e">
        <f>1/(1+(10^($X158/'[1]Teams'!$F$3)))</f>
        <v>#N/A</v>
      </c>
      <c r="W158" s="157" t="e">
        <f>1/(1+(10^($Y158/'[1]Teams'!$F$3)))</f>
        <v>#N/A</v>
      </c>
      <c r="X158" s="68" t="e">
        <f t="shared" si="31"/>
        <v>#N/A</v>
      </c>
      <c r="Y158" s="155" t="e">
        <f t="shared" si="32"/>
        <v>#N/A</v>
      </c>
      <c r="Z158" s="68" t="e">
        <f>ROUND($R158+(Teams!$H$2*($T158-$V158)),0)</f>
        <v>#N/A</v>
      </c>
      <c r="AA158" s="158" t="e">
        <f>ROUND($S158+(Teams!$H$2*($U158-$W158)),0)</f>
        <v>#N/A</v>
      </c>
    </row>
    <row r="159" spans="2:27" ht="12.75">
      <c r="B159" s="158">
        <v>8</v>
      </c>
      <c r="C159" s="216" t="s">
        <v>152</v>
      </c>
      <c r="D159" s="171">
        <v>6</v>
      </c>
      <c r="E159" s="175">
        <v>29</v>
      </c>
      <c r="F159" s="221" t="s">
        <v>127</v>
      </c>
      <c r="G159" s="151" t="str">
        <f>INDEX(Teams!$B$5:$H$45,MATCH(Results!$C159,Teams!$B$5:$B$45,0),3)</f>
        <v>Trent Community Park</v>
      </c>
      <c r="H159" s="151" t="str">
        <f>INDEX(Teams!$B$5:$H$45,MATCH(Results!$C159,Teams!$B$5:$B$45,0),5)</f>
        <v>Woodlands</v>
      </c>
      <c r="I159" s="152" t="str">
        <f>INDEX(Teams!$B$5:$H$45,MATCH(Results!$C159,Teams!$B$5:$B$45,0),6)</f>
        <v>WALT</v>
      </c>
      <c r="J159" s="152" t="str">
        <f>INDEX(Teams!$B$5:$H$45,MATCH(Results!$F159,Teams!$B$5:$B$45,0),6)</f>
        <v>BUCK</v>
      </c>
      <c r="K159" s="69" t="str">
        <f t="shared" si="22"/>
        <v>WALTBUCK</v>
      </c>
      <c r="L159" s="68" t="str">
        <f t="shared" si="23"/>
        <v>BUCK</v>
      </c>
      <c r="M159" s="68">
        <f t="shared" si="24"/>
        <v>1</v>
      </c>
      <c r="N159" s="68">
        <f t="shared" si="25"/>
        <v>23</v>
      </c>
      <c r="O159" s="68" t="str">
        <f t="shared" si="26"/>
        <v>Away</v>
      </c>
      <c r="P159" s="68" t="str">
        <f t="shared" si="27"/>
        <v>WALT8</v>
      </c>
      <c r="Q159" s="68" t="str">
        <f t="shared" si="28"/>
        <v>BUCK8</v>
      </c>
      <c r="R159" s="68" t="e">
        <f>INDEX(RankPoints!$B$4:$AK$19,$B159+1,MATCH(Results!$I159,RankPoints!$B$4:$AK$4,0))</f>
        <v>#N/A</v>
      </c>
      <c r="S159" s="68" t="e">
        <f>INDEX(RankPoints!$B$4:$AK$19,$B159+1,MATCH(Results!$J159,RankPoints!$B$4:$AK$4,0))</f>
        <v>#N/A</v>
      </c>
      <c r="T159" s="68">
        <f t="shared" si="29"/>
        <v>0</v>
      </c>
      <c r="U159" s="155">
        <f t="shared" si="30"/>
        <v>1</v>
      </c>
      <c r="V159" s="156" t="e">
        <f>1/(1+(10^($X159/'[1]Teams'!$F$3)))</f>
        <v>#N/A</v>
      </c>
      <c r="W159" s="157" t="e">
        <f>1/(1+(10^($Y159/'[1]Teams'!$F$3)))</f>
        <v>#N/A</v>
      </c>
      <c r="X159" s="68" t="e">
        <f t="shared" si="31"/>
        <v>#N/A</v>
      </c>
      <c r="Y159" s="155" t="e">
        <f t="shared" si="32"/>
        <v>#N/A</v>
      </c>
      <c r="Z159" s="68" t="e">
        <f>ROUND($R159+(Teams!$H$2*($T159-$V159)),0)</f>
        <v>#N/A</v>
      </c>
      <c r="AA159" s="158" t="e">
        <f>ROUND($S159+(Teams!$H$2*($U159-$W159)),0)</f>
        <v>#N/A</v>
      </c>
    </row>
    <row r="160" spans="2:27" ht="12.75">
      <c r="B160" s="158">
        <v>8</v>
      </c>
      <c r="C160" s="216" t="s">
        <v>110</v>
      </c>
      <c r="D160" s="171">
        <v>13</v>
      </c>
      <c r="E160" s="175">
        <v>7</v>
      </c>
      <c r="F160" s="221" t="s">
        <v>78</v>
      </c>
      <c r="G160" s="151" t="str">
        <f>INDEX(Teams!$B$5:$H$45,MATCH(Results!$C160,Teams!$B$5:$B$45,0),3)</f>
        <v>Martin Connors Memorial Field</v>
      </c>
      <c r="H160" s="151" t="str">
        <f>INDEX(Teams!$B$5:$H$45,MATCH(Results!$C160,Teams!$B$5:$B$45,0),5)</f>
        <v>Woodlands</v>
      </c>
      <c r="I160" s="152" t="str">
        <f>INDEX(Teams!$B$5:$H$45,MATCH(Results!$C160,Teams!$B$5:$B$45,0),6)</f>
        <v>UTCA</v>
      </c>
      <c r="J160" s="152" t="str">
        <f>INDEX(Teams!$B$5:$H$45,MATCH(Results!$F160,Teams!$B$5:$B$45,0),6)</f>
        <v>FRBB</v>
      </c>
      <c r="K160" s="69" t="str">
        <f t="shared" si="22"/>
        <v>UTCAFRBB</v>
      </c>
      <c r="L160" s="68" t="str">
        <f t="shared" si="23"/>
        <v>UTCA</v>
      </c>
      <c r="M160" s="68">
        <f t="shared" si="24"/>
        <v>1</v>
      </c>
      <c r="N160" s="68">
        <f t="shared" si="25"/>
        <v>6</v>
      </c>
      <c r="O160" s="68" t="str">
        <f t="shared" si="26"/>
        <v>Home</v>
      </c>
      <c r="P160" s="68" t="str">
        <f t="shared" si="27"/>
        <v>UTCA8</v>
      </c>
      <c r="Q160" s="68" t="str">
        <f t="shared" si="28"/>
        <v>FRBB8</v>
      </c>
      <c r="R160" s="68">
        <f>INDEX(RankPoints!$B$4:$AK$19,$B160+1,MATCH(Results!$I160,RankPoints!$B$4:$AK$4,0))</f>
        <v>326</v>
      </c>
      <c r="S160" s="68">
        <f>INDEX(RankPoints!$B$4:$AK$19,$B160+1,MATCH(Results!$J160,RankPoints!$B$4:$AK$4,0))</f>
        <v>1125</v>
      </c>
      <c r="T160" s="68">
        <f t="shared" si="29"/>
        <v>1</v>
      </c>
      <c r="U160" s="155">
        <f t="shared" si="30"/>
        <v>0</v>
      </c>
      <c r="V160" s="156">
        <f>1/(1+(10^($X160/'[1]Teams'!$F$3)))</f>
        <v>0.9900424200270772</v>
      </c>
      <c r="W160" s="157">
        <f>1/(1+(10^($Y160/'[1]Teams'!$F$3)))</f>
        <v>0.009957579972922863</v>
      </c>
      <c r="X160" s="68">
        <f t="shared" si="31"/>
        <v>-799</v>
      </c>
      <c r="Y160" s="155">
        <f t="shared" si="32"/>
        <v>799</v>
      </c>
      <c r="Z160" s="68">
        <f>ROUND($R160+(Teams!$H$2*($T160-$V160)),0)</f>
        <v>326</v>
      </c>
      <c r="AA160" s="158">
        <f>ROUND($S160+(Teams!$H$2*($U160-$W160)),0)</f>
        <v>1125</v>
      </c>
    </row>
    <row r="161" spans="2:27" ht="12.75">
      <c r="B161" s="158">
        <v>8</v>
      </c>
      <c r="C161" s="216" t="s">
        <v>125</v>
      </c>
      <c r="D161" s="171">
        <v>54</v>
      </c>
      <c r="E161" s="175">
        <v>3</v>
      </c>
      <c r="F161" s="221" t="s">
        <v>255</v>
      </c>
      <c r="G161" s="151" t="str">
        <f>INDEX(Teams!$B$5:$H$45,MATCH(Results!$C161,Teams!$B$5:$B$45,0),3)</f>
        <v>Groundhog Field</v>
      </c>
      <c r="H161" s="151" t="str">
        <f>INDEX(Teams!$B$5:$H$45,MATCH(Results!$C161,Teams!$B$5:$B$45,0),5)</f>
        <v>Woodlands</v>
      </c>
      <c r="I161" s="152" t="str">
        <f>INDEX(Teams!$B$5:$H$45,MATCH(Results!$C161,Teams!$B$5:$B$45,0),6)</f>
        <v>JGZA</v>
      </c>
      <c r="J161" s="152" t="str">
        <f>INDEX(Teams!$B$5:$H$45,MATCH(Results!$F161,Teams!$B$5:$B$45,0),6)</f>
        <v>HUDS</v>
      </c>
      <c r="K161" s="69" t="str">
        <f t="shared" si="22"/>
        <v>JGZAHUDS</v>
      </c>
      <c r="L161" s="68" t="str">
        <f t="shared" si="23"/>
        <v>JGZA</v>
      </c>
      <c r="M161" s="68">
        <f t="shared" si="24"/>
        <v>1</v>
      </c>
      <c r="N161" s="68">
        <f t="shared" si="25"/>
        <v>51</v>
      </c>
      <c r="O161" s="68" t="str">
        <f t="shared" si="26"/>
        <v>Home</v>
      </c>
      <c r="P161" s="68" t="str">
        <f t="shared" si="27"/>
        <v>JGZA8</v>
      </c>
      <c r="Q161" s="68" t="str">
        <f t="shared" si="28"/>
        <v>HUDS8</v>
      </c>
      <c r="R161" s="68" t="e">
        <f>INDEX(RankPoints!$B$4:$AK$19,$B161+1,MATCH(Results!$I161,RankPoints!$B$4:$AK$4,0))</f>
        <v>#N/A</v>
      </c>
      <c r="S161" s="68" t="e">
        <f>INDEX(RankPoints!$B$4:$AK$19,$B161+1,MATCH(Results!$J161,RankPoints!$B$4:$AK$4,0))</f>
        <v>#N/A</v>
      </c>
      <c r="T161" s="68">
        <f t="shared" si="29"/>
        <v>1</v>
      </c>
      <c r="U161" s="155">
        <f t="shared" si="30"/>
        <v>0</v>
      </c>
      <c r="V161" s="156" t="e">
        <f>1/(1+(10^($X161/'[1]Teams'!$F$3)))</f>
        <v>#N/A</v>
      </c>
      <c r="W161" s="157" t="e">
        <f>1/(1+(10^($Y161/'[1]Teams'!$F$3)))</f>
        <v>#N/A</v>
      </c>
      <c r="X161" s="68" t="e">
        <f t="shared" si="31"/>
        <v>#N/A</v>
      </c>
      <c r="Y161" s="155" t="e">
        <f t="shared" si="32"/>
        <v>#N/A</v>
      </c>
      <c r="Z161" s="68" t="e">
        <f>ROUND($R161+(Teams!$H$2*($T161-$V161)),0)</f>
        <v>#N/A</v>
      </c>
      <c r="AA161" s="158" t="e">
        <f>ROUND($S161+(Teams!$H$2*($U161-$W161)),0)</f>
        <v>#N/A</v>
      </c>
    </row>
    <row r="162" spans="2:27" ht="12.75">
      <c r="B162" s="158">
        <v>8</v>
      </c>
      <c r="C162" s="216" t="s">
        <v>109</v>
      </c>
      <c r="D162" s="171">
        <v>27</v>
      </c>
      <c r="E162" s="175">
        <v>6</v>
      </c>
      <c r="F162" s="221" t="s">
        <v>158</v>
      </c>
      <c r="G162" s="151" t="str">
        <f>INDEX(Teams!$B$5:$H$45,MATCH(Results!$C162,Teams!$B$5:$B$45,0),3)</f>
        <v>Walker Field</v>
      </c>
      <c r="H162" s="151" t="str">
        <f>INDEX(Teams!$B$5:$H$45,MATCH(Results!$C162,Teams!$B$5:$B$45,0),5)</f>
        <v>Woodlands</v>
      </c>
      <c r="I162" s="152" t="str">
        <f>INDEX(Teams!$B$5:$H$45,MATCH(Results!$C162,Teams!$B$5:$B$45,0),6)</f>
        <v>ARKN</v>
      </c>
      <c r="J162" s="152" t="str">
        <f>INDEX(Teams!$B$5:$H$45,MATCH(Results!$F162,Teams!$B$5:$B$45,0),6)</f>
        <v>TOUF</v>
      </c>
      <c r="K162" s="69" t="str">
        <f t="shared" si="22"/>
        <v>ARKNTOUF</v>
      </c>
      <c r="L162" s="68" t="str">
        <f t="shared" si="23"/>
        <v>ARKN</v>
      </c>
      <c r="M162" s="68">
        <f t="shared" si="24"/>
        <v>1</v>
      </c>
      <c r="N162" s="68">
        <f t="shared" si="25"/>
        <v>21</v>
      </c>
      <c r="O162" s="68" t="str">
        <f t="shared" si="26"/>
        <v>Home</v>
      </c>
      <c r="P162" s="68" t="str">
        <f t="shared" si="27"/>
        <v>ARKN8</v>
      </c>
      <c r="Q162" s="68" t="str">
        <f t="shared" si="28"/>
        <v>TOUF8</v>
      </c>
      <c r="R162" s="68">
        <f>INDEX(RankPoints!$B$4:$AK$19,$B162+1,MATCH(Results!$I162,RankPoints!$B$4:$AK$4,0))</f>
        <v>351</v>
      </c>
      <c r="S162" s="68" t="e">
        <f>INDEX(RankPoints!$B$4:$AK$19,$B162+1,MATCH(Results!$J162,RankPoints!$B$4:$AK$4,0))</f>
        <v>#N/A</v>
      </c>
      <c r="T162" s="68">
        <f t="shared" si="29"/>
        <v>1</v>
      </c>
      <c r="U162" s="155">
        <f t="shared" si="30"/>
        <v>0</v>
      </c>
      <c r="V162" s="156" t="e">
        <f>1/(1+(10^($X162/'[1]Teams'!$F$3)))</f>
        <v>#N/A</v>
      </c>
      <c r="W162" s="157" t="e">
        <f>1/(1+(10^($Y162/'[1]Teams'!$F$3)))</f>
        <v>#N/A</v>
      </c>
      <c r="X162" s="68" t="e">
        <f t="shared" si="31"/>
        <v>#N/A</v>
      </c>
      <c r="Y162" s="155" t="e">
        <f t="shared" si="32"/>
        <v>#N/A</v>
      </c>
      <c r="Z162" s="68" t="e">
        <f>ROUND($R162+(Teams!$H$2*($T162-$V162)),0)</f>
        <v>#N/A</v>
      </c>
      <c r="AA162" s="158" t="e">
        <f>ROUND($S162+(Teams!$H$2*($U162-$W162)),0)</f>
        <v>#N/A</v>
      </c>
    </row>
    <row r="163" spans="2:27" ht="12.75">
      <c r="B163" s="158">
        <v>9</v>
      </c>
      <c r="C163" s="216" t="s">
        <v>76</v>
      </c>
      <c r="D163" s="171">
        <v>26</v>
      </c>
      <c r="E163" s="175">
        <v>3</v>
      </c>
      <c r="F163" s="221" t="s">
        <v>271</v>
      </c>
      <c r="G163" s="151" t="str">
        <f>INDEX(Teams!$B$5:$H$45,MATCH(Results!$C163,Teams!$B$5:$B$45,0),3)</f>
        <v>Bronco Stadium</v>
      </c>
      <c r="H163" s="151" t="str">
        <f>INDEX(Teams!$B$5:$H$45,MATCH(Results!$C163,Teams!$B$5:$B$45,0),5)</f>
        <v>Big Eight</v>
      </c>
      <c r="I163" s="152" t="str">
        <f>INDEX(Teams!$B$5:$H$45,MATCH(Results!$C163,Teams!$B$5:$B$45,0),6)</f>
        <v>SCTT</v>
      </c>
      <c r="J163" s="152" t="str">
        <f>INDEX(Teams!$B$5:$H$45,MATCH(Results!$F163,Teams!$B$5:$B$45,0),6)</f>
        <v>WAA</v>
      </c>
      <c r="K163" s="69" t="str">
        <f t="shared" si="22"/>
        <v>SCTTWAA</v>
      </c>
      <c r="L163" s="68" t="str">
        <f t="shared" si="23"/>
        <v>SCTT</v>
      </c>
      <c r="M163" s="68">
        <f t="shared" si="24"/>
        <v>1</v>
      </c>
      <c r="N163" s="68">
        <f t="shared" si="25"/>
        <v>23</v>
      </c>
      <c r="O163" s="68" t="str">
        <f t="shared" si="26"/>
        <v>Home</v>
      </c>
      <c r="P163" s="68" t="str">
        <f t="shared" si="27"/>
        <v>SCTT9</v>
      </c>
      <c r="Q163" s="68" t="str">
        <f t="shared" si="28"/>
        <v>WAA9</v>
      </c>
      <c r="R163" s="68">
        <f>INDEX(RankPoints!$B$4:$AK$19,$B163+1,MATCH(Results!$I163,RankPoints!$B$4:$AK$4,0))</f>
        <v>1651</v>
      </c>
      <c r="S163" s="68" t="e">
        <f>INDEX(RankPoints!$B$4:$AK$19,$B163+1,MATCH(Results!$J163,RankPoints!$B$4:$AK$4,0))</f>
        <v>#N/A</v>
      </c>
      <c r="T163" s="68">
        <f t="shared" si="29"/>
        <v>1</v>
      </c>
      <c r="U163" s="155">
        <f t="shared" si="30"/>
        <v>0</v>
      </c>
      <c r="V163" s="156" t="e">
        <f>1/(1+(10^($X163/'[1]Teams'!$F$3)))</f>
        <v>#N/A</v>
      </c>
      <c r="W163" s="157" t="e">
        <f>1/(1+(10^($Y163/'[1]Teams'!$F$3)))</f>
        <v>#N/A</v>
      </c>
      <c r="X163" s="68" t="e">
        <f t="shared" si="31"/>
        <v>#N/A</v>
      </c>
      <c r="Y163" s="155" t="e">
        <f t="shared" si="32"/>
        <v>#N/A</v>
      </c>
      <c r="Z163" s="68" t="e">
        <f>ROUND($R163+(Teams!$H$2*($T163-$V163)),0)</f>
        <v>#N/A</v>
      </c>
      <c r="AA163" s="158" t="e">
        <f>ROUND($S163+(Teams!$H$2*($U163-$W163)),0)</f>
        <v>#N/A</v>
      </c>
    </row>
    <row r="164" spans="2:27" ht="12.75">
      <c r="B164" s="158">
        <v>9</v>
      </c>
      <c r="C164" s="216" t="s">
        <v>77</v>
      </c>
      <c r="D164" s="171">
        <v>33</v>
      </c>
      <c r="E164" s="175">
        <v>0</v>
      </c>
      <c r="F164" s="221" t="s">
        <v>124</v>
      </c>
      <c r="G164" s="151" t="str">
        <f>INDEX(Teams!$B$5:$H$45,MATCH(Results!$C164,Teams!$B$5:$B$45,0),3)</f>
        <v>Montbenoit Dome</v>
      </c>
      <c r="H164" s="151" t="str">
        <f>INDEX(Teams!$B$5:$H$45,MATCH(Results!$C164,Teams!$B$5:$B$45,0),5)</f>
        <v>Big Eight</v>
      </c>
      <c r="I164" s="152" t="str">
        <f>INDEX(Teams!$B$5:$H$45,MATCH(Results!$C164,Teams!$B$5:$B$45,0),6)</f>
        <v>SAUG</v>
      </c>
      <c r="J164" s="152" t="str">
        <f>INDEX(Teams!$B$5:$H$45,MATCH(Results!$F164,Teams!$B$5:$B$45,0),6)</f>
        <v>TIMC</v>
      </c>
      <c r="K164" s="69" t="str">
        <f t="shared" si="22"/>
        <v>SAUGTIMC</v>
      </c>
      <c r="L164" s="68" t="str">
        <f t="shared" si="23"/>
        <v>SAUG</v>
      </c>
      <c r="M164" s="68">
        <f t="shared" si="24"/>
        <v>1</v>
      </c>
      <c r="N164" s="68">
        <f t="shared" si="25"/>
        <v>33</v>
      </c>
      <c r="O164" s="68" t="str">
        <f t="shared" si="26"/>
        <v>Home</v>
      </c>
      <c r="P164" s="68" t="str">
        <f t="shared" si="27"/>
        <v>SAUG9</v>
      </c>
      <c r="Q164" s="68" t="str">
        <f t="shared" si="28"/>
        <v>TIMC9</v>
      </c>
      <c r="R164" s="68">
        <f>INDEX(RankPoints!$B$4:$AK$19,$B164+1,MATCH(Results!$I164,RankPoints!$B$4:$AK$4,0))</f>
        <v>0</v>
      </c>
      <c r="S164" s="68" t="e">
        <f>INDEX(RankPoints!$B$4:$AK$19,$B164+1,MATCH(Results!$J164,RankPoints!$B$4:$AK$4,0))</f>
        <v>#N/A</v>
      </c>
      <c r="T164" s="68">
        <f t="shared" si="29"/>
        <v>1</v>
      </c>
      <c r="U164" s="155">
        <f t="shared" si="30"/>
        <v>0</v>
      </c>
      <c r="V164" s="156" t="e">
        <f>1/(1+(10^($X164/'[1]Teams'!$F$3)))</f>
        <v>#N/A</v>
      </c>
      <c r="W164" s="157" t="e">
        <f>1/(1+(10^($Y164/'[1]Teams'!$F$3)))</f>
        <v>#N/A</v>
      </c>
      <c r="X164" s="68" t="e">
        <f t="shared" si="31"/>
        <v>#N/A</v>
      </c>
      <c r="Y164" s="155" t="e">
        <f t="shared" si="32"/>
        <v>#N/A</v>
      </c>
      <c r="Z164" s="68" t="e">
        <f>ROUND($R164+(Teams!$H$2*($T164-$V164)),0)</f>
        <v>#N/A</v>
      </c>
      <c r="AA164" s="158" t="e">
        <f>ROUND($S164+(Teams!$H$2*($U164-$W164)),0)</f>
        <v>#N/A</v>
      </c>
    </row>
    <row r="165" spans="2:27" ht="12.75">
      <c r="B165" s="158">
        <v>9</v>
      </c>
      <c r="C165" s="216" t="s">
        <v>148</v>
      </c>
      <c r="D165" s="171">
        <v>20</v>
      </c>
      <c r="E165" s="175">
        <v>3</v>
      </c>
      <c r="F165" s="221" t="s">
        <v>154</v>
      </c>
      <c r="G165" s="151" t="str">
        <f>INDEX(Teams!$B$5:$H$45,MATCH(Results!$C165,Teams!$B$5:$B$45,0),3)</f>
        <v>National Stadium</v>
      </c>
      <c r="H165" s="151" t="str">
        <f>INDEX(Teams!$B$5:$H$45,MATCH(Results!$C165,Teams!$B$5:$B$45,0),5)</f>
        <v>Big Eight</v>
      </c>
      <c r="I165" s="152" t="str">
        <f>INDEX(Teams!$B$5:$H$45,MATCH(Results!$C165,Teams!$B$5:$B$45,0),6)</f>
        <v>RELK</v>
      </c>
      <c r="J165" s="152" t="str">
        <f>INDEX(Teams!$B$5:$H$45,MATCH(Results!$F165,Teams!$B$5:$B$45,0),6)</f>
        <v>NOBL</v>
      </c>
      <c r="K165" s="69" t="str">
        <f t="shared" si="22"/>
        <v>RELKNOBL</v>
      </c>
      <c r="L165" s="68" t="str">
        <f t="shared" si="23"/>
        <v>RELK</v>
      </c>
      <c r="M165" s="68">
        <f t="shared" si="24"/>
        <v>1</v>
      </c>
      <c r="N165" s="68">
        <f t="shared" si="25"/>
        <v>17</v>
      </c>
      <c r="O165" s="68" t="str">
        <f t="shared" si="26"/>
        <v>Home</v>
      </c>
      <c r="P165" s="68" t="str">
        <f t="shared" si="27"/>
        <v>RELK9</v>
      </c>
      <c r="Q165" s="68" t="str">
        <f t="shared" si="28"/>
        <v>NOBL9</v>
      </c>
      <c r="R165" s="68" t="e">
        <f>INDEX(RankPoints!$B$4:$AK$19,$B165+1,MATCH(Results!$I165,RankPoints!$B$4:$AK$4,0))</f>
        <v>#N/A</v>
      </c>
      <c r="S165" s="68" t="e">
        <f>INDEX(RankPoints!$B$4:$AK$19,$B165+1,MATCH(Results!$J165,RankPoints!$B$4:$AK$4,0))</f>
        <v>#N/A</v>
      </c>
      <c r="T165" s="68">
        <f t="shared" si="29"/>
        <v>1</v>
      </c>
      <c r="U165" s="155">
        <f t="shared" si="30"/>
        <v>0</v>
      </c>
      <c r="V165" s="156" t="e">
        <f>1/(1+(10^($X165/'[1]Teams'!$F$3)))</f>
        <v>#N/A</v>
      </c>
      <c r="W165" s="157" t="e">
        <f>1/(1+(10^($Y165/'[1]Teams'!$F$3)))</f>
        <v>#N/A</v>
      </c>
      <c r="X165" s="68" t="e">
        <f t="shared" si="31"/>
        <v>#N/A</v>
      </c>
      <c r="Y165" s="155" t="e">
        <f t="shared" si="32"/>
        <v>#N/A</v>
      </c>
      <c r="Z165" s="68" t="e">
        <f>ROUND($R165+(Teams!$H$2*($T165-$V165)),0)</f>
        <v>#N/A</v>
      </c>
      <c r="AA165" s="158" t="e">
        <f>ROUND($S165+(Teams!$H$2*($U165-$W165)),0)</f>
        <v>#N/A</v>
      </c>
    </row>
    <row r="166" spans="2:27" ht="12.75">
      <c r="B166" s="158">
        <v>9</v>
      </c>
      <c r="C166" s="216" t="s">
        <v>270</v>
      </c>
      <c r="D166" s="171">
        <v>30</v>
      </c>
      <c r="E166" s="175">
        <v>12</v>
      </c>
      <c r="F166" s="221" t="s">
        <v>144</v>
      </c>
      <c r="G166" s="151" t="str">
        <f>INDEX(Teams!$B$5:$H$45,MATCH(Results!$C166,Teams!$B$5:$B$45,0),3)</f>
        <v>Bugny Stadium</v>
      </c>
      <c r="H166" s="151" t="str">
        <f>INDEX(Teams!$B$5:$H$45,MATCH(Results!$C166,Teams!$B$5:$B$45,0),5)</f>
        <v>Big Eight</v>
      </c>
      <c r="I166" s="152" t="str">
        <f>INDEX(Teams!$B$5:$H$45,MATCH(Results!$C166,Teams!$B$5:$B$45,0),6)</f>
        <v>BUGN</v>
      </c>
      <c r="J166" s="152" t="str">
        <f>INDEX(Teams!$B$5:$H$45,MATCH(Results!$F166,Teams!$B$5:$B$45,0),6)</f>
        <v>ARLN</v>
      </c>
      <c r="K166" s="69" t="str">
        <f t="shared" si="22"/>
        <v>BUGNARLN</v>
      </c>
      <c r="L166" s="68" t="str">
        <f t="shared" si="23"/>
        <v>BUGN</v>
      </c>
      <c r="M166" s="68">
        <f t="shared" si="24"/>
        <v>1</v>
      </c>
      <c r="N166" s="68">
        <f t="shared" si="25"/>
        <v>18</v>
      </c>
      <c r="O166" s="68" t="str">
        <f t="shared" si="26"/>
        <v>Home</v>
      </c>
      <c r="P166" s="68" t="str">
        <f t="shared" si="27"/>
        <v>BUGN9</v>
      </c>
      <c r="Q166" s="68" t="str">
        <f t="shared" si="28"/>
        <v>ARLN9</v>
      </c>
      <c r="R166" s="68">
        <f>INDEX(RankPoints!$B$4:$AK$19,$B166+1,MATCH(Results!$I166,RankPoints!$B$4:$AK$4,0))</f>
        <v>1516</v>
      </c>
      <c r="S166" s="68" t="e">
        <f>INDEX(RankPoints!$B$4:$AK$19,$B166+1,MATCH(Results!$J166,RankPoints!$B$4:$AK$4,0))</f>
        <v>#N/A</v>
      </c>
      <c r="T166" s="68">
        <f t="shared" si="29"/>
        <v>1</v>
      </c>
      <c r="U166" s="155">
        <f t="shared" si="30"/>
        <v>0</v>
      </c>
      <c r="V166" s="156" t="e">
        <f>1/(1+(10^($X166/'[1]Teams'!$F$3)))</f>
        <v>#N/A</v>
      </c>
      <c r="W166" s="157" t="e">
        <f>1/(1+(10^($Y166/'[1]Teams'!$F$3)))</f>
        <v>#N/A</v>
      </c>
      <c r="X166" s="68" t="e">
        <f t="shared" si="31"/>
        <v>#N/A</v>
      </c>
      <c r="Y166" s="155" t="e">
        <f t="shared" si="32"/>
        <v>#N/A</v>
      </c>
      <c r="Z166" s="68" t="e">
        <f>ROUND($R166+(Teams!$H$2*($T166-$V166)),0)</f>
        <v>#N/A</v>
      </c>
      <c r="AA166" s="158" t="e">
        <f>ROUND($S166+(Teams!$H$2*($U166-$W166)),0)</f>
        <v>#N/A</v>
      </c>
    </row>
    <row r="167" spans="2:27" ht="12.75">
      <c r="B167" s="158">
        <v>9</v>
      </c>
      <c r="C167" s="216" t="s">
        <v>151</v>
      </c>
      <c r="D167" s="171">
        <v>0</v>
      </c>
      <c r="E167" s="175">
        <v>10</v>
      </c>
      <c r="F167" s="221" t="s">
        <v>248</v>
      </c>
      <c r="G167" s="151" t="str">
        <f>INDEX(Teams!$B$5:$H$45,MATCH(Results!$C167,Teams!$B$5:$B$45,0),3)</f>
        <v>Olympic Stadiums</v>
      </c>
      <c r="H167" s="151" t="str">
        <f>INDEX(Teams!$B$5:$H$45,MATCH(Results!$C167,Teams!$B$5:$B$45,0),5)</f>
        <v>Horizon</v>
      </c>
      <c r="I167" s="152" t="str">
        <f>INDEX(Teams!$B$5:$H$45,MATCH(Results!$C167,Teams!$B$5:$B$45,0),6)</f>
        <v>OLYM</v>
      </c>
      <c r="J167" s="152" t="str">
        <f>INDEX(Teams!$B$5:$H$45,MATCH(Results!$F167,Teams!$B$5:$B$45,0),6)</f>
        <v>COLD</v>
      </c>
      <c r="K167" s="69" t="str">
        <f t="shared" si="22"/>
        <v>OLYMCOLD</v>
      </c>
      <c r="L167" s="68" t="str">
        <f t="shared" si="23"/>
        <v>COLD</v>
      </c>
      <c r="M167" s="68">
        <f t="shared" si="24"/>
        <v>1</v>
      </c>
      <c r="N167" s="68">
        <f t="shared" si="25"/>
        <v>10</v>
      </c>
      <c r="O167" s="68" t="str">
        <f t="shared" si="26"/>
        <v>Away</v>
      </c>
      <c r="P167" s="68" t="str">
        <f t="shared" si="27"/>
        <v>OLYM9</v>
      </c>
      <c r="Q167" s="68" t="str">
        <f t="shared" si="28"/>
        <v>COLD9</v>
      </c>
      <c r="R167" s="68" t="e">
        <f>INDEX(RankPoints!$B$4:$AK$19,$B167+1,MATCH(Results!$I167,RankPoints!$B$4:$AK$4,0))</f>
        <v>#N/A</v>
      </c>
      <c r="S167" s="68">
        <f>INDEX(RankPoints!$B$4:$AK$19,$B167+1,MATCH(Results!$J167,RankPoints!$B$4:$AK$4,0))</f>
        <v>-1255</v>
      </c>
      <c r="T167" s="68">
        <f t="shared" si="29"/>
        <v>0</v>
      </c>
      <c r="U167" s="155">
        <f t="shared" si="30"/>
        <v>1</v>
      </c>
      <c r="V167" s="156" t="e">
        <f>1/(1+(10^($X167/'[1]Teams'!$F$3)))</f>
        <v>#N/A</v>
      </c>
      <c r="W167" s="157" t="e">
        <f>1/(1+(10^($Y167/'[1]Teams'!$F$3)))</f>
        <v>#N/A</v>
      </c>
      <c r="X167" s="68" t="e">
        <f t="shared" si="31"/>
        <v>#N/A</v>
      </c>
      <c r="Y167" s="155" t="e">
        <f t="shared" si="32"/>
        <v>#N/A</v>
      </c>
      <c r="Z167" s="68" t="e">
        <f>ROUND($R167+(Teams!$H$2*($T167-$V167)),0)</f>
        <v>#N/A</v>
      </c>
      <c r="AA167" s="158" t="e">
        <f>ROUND($S167+(Teams!$H$2*($U167-$W167)),0)</f>
        <v>#N/A</v>
      </c>
    </row>
    <row r="168" spans="2:27" ht="12.75">
      <c r="B168" s="158">
        <v>9</v>
      </c>
      <c r="C168" s="216" t="s">
        <v>21</v>
      </c>
      <c r="D168" s="171">
        <v>0</v>
      </c>
      <c r="E168" s="175">
        <v>14</v>
      </c>
      <c r="F168" s="221" t="s">
        <v>149</v>
      </c>
      <c r="G168" s="151" t="str">
        <f>INDEX(Teams!$B$5:$H$45,MATCH(Results!$C168,Teams!$B$5:$B$45,0),3)</f>
        <v>Finglass Field</v>
      </c>
      <c r="H168" s="151" t="str">
        <f>INDEX(Teams!$B$5:$H$45,MATCH(Results!$C168,Teams!$B$5:$B$45,0),5)</f>
        <v>Horizon</v>
      </c>
      <c r="I168" s="152" t="str">
        <f>INDEX(Teams!$B$5:$H$45,MATCH(Results!$C168,Teams!$B$5:$B$45,0),6)</f>
        <v>STON</v>
      </c>
      <c r="J168" s="152" t="str">
        <f>INDEX(Teams!$B$5:$H$45,MATCH(Results!$F168,Teams!$B$5:$B$45,0),6)</f>
        <v>USPN</v>
      </c>
      <c r="K168" s="69" t="str">
        <f t="shared" si="22"/>
        <v>STONUSPN</v>
      </c>
      <c r="L168" s="68" t="str">
        <f t="shared" si="23"/>
        <v>USPN</v>
      </c>
      <c r="M168" s="68">
        <f t="shared" si="24"/>
        <v>1</v>
      </c>
      <c r="N168" s="68">
        <f t="shared" si="25"/>
        <v>14</v>
      </c>
      <c r="O168" s="68" t="str">
        <f t="shared" si="26"/>
        <v>Away</v>
      </c>
      <c r="P168" s="68" t="str">
        <f t="shared" si="27"/>
        <v>STON9</v>
      </c>
      <c r="Q168" s="68" t="str">
        <f t="shared" si="28"/>
        <v>USPN9</v>
      </c>
      <c r="R168" s="68">
        <f>INDEX(RankPoints!$B$4:$AK$19,$B168+1,MATCH(Results!$I168,RankPoints!$B$4:$AK$4,0))</f>
        <v>2850</v>
      </c>
      <c r="S168" s="68" t="e">
        <f>INDEX(RankPoints!$B$4:$AK$19,$B168+1,MATCH(Results!$J168,RankPoints!$B$4:$AK$4,0))</f>
        <v>#N/A</v>
      </c>
      <c r="T168" s="68">
        <f t="shared" si="29"/>
        <v>0</v>
      </c>
      <c r="U168" s="155">
        <f t="shared" si="30"/>
        <v>1</v>
      </c>
      <c r="V168" s="156" t="e">
        <f>1/(1+(10^($X168/'[1]Teams'!$F$3)))</f>
        <v>#N/A</v>
      </c>
      <c r="W168" s="157" t="e">
        <f>1/(1+(10^($Y168/'[1]Teams'!$F$3)))</f>
        <v>#N/A</v>
      </c>
      <c r="X168" s="68" t="e">
        <f t="shared" si="31"/>
        <v>#N/A</v>
      </c>
      <c r="Y168" s="155" t="e">
        <f t="shared" si="32"/>
        <v>#N/A</v>
      </c>
      <c r="Z168" s="68" t="e">
        <f>ROUND($R168+(Teams!$H$2*($T168-$V168)),0)</f>
        <v>#N/A</v>
      </c>
      <c r="AA168" s="158" t="e">
        <f>ROUND($S168+(Teams!$H$2*($U168-$W168)),0)</f>
        <v>#N/A</v>
      </c>
    </row>
    <row r="169" spans="2:27" ht="12.75">
      <c r="B169" s="158">
        <v>9</v>
      </c>
      <c r="C169" s="216" t="s">
        <v>153</v>
      </c>
      <c r="D169" s="171">
        <v>10</v>
      </c>
      <c r="E169" s="175">
        <v>7</v>
      </c>
      <c r="F169" s="221" t="s">
        <v>157</v>
      </c>
      <c r="G169" s="151" t="str">
        <f>INDEX(Teams!$B$5:$H$45,MATCH(Results!$C169,Teams!$B$5:$B$45,0),3)</f>
        <v>Cheikanwa Stadium</v>
      </c>
      <c r="H169" s="151" t="str">
        <f>INDEX(Teams!$B$5:$H$45,MATCH(Results!$C169,Teams!$B$5:$B$45,0),5)</f>
        <v>Horizon</v>
      </c>
      <c r="I169" s="152" t="str">
        <f>INDEX(Teams!$B$5:$H$45,MATCH(Results!$C169,Teams!$B$5:$B$45,0),6)</f>
        <v>RSTU</v>
      </c>
      <c r="J169" s="152" t="str">
        <f>INDEX(Teams!$B$5:$H$45,MATCH(Results!$F169,Teams!$B$5:$B$45,0),6)</f>
        <v>WIEN</v>
      </c>
      <c r="K169" s="69" t="str">
        <f t="shared" si="22"/>
        <v>RSTUWIEN</v>
      </c>
      <c r="L169" s="68" t="str">
        <f t="shared" si="23"/>
        <v>RSTU</v>
      </c>
      <c r="M169" s="68">
        <f t="shared" si="24"/>
        <v>1</v>
      </c>
      <c r="N169" s="68">
        <f t="shared" si="25"/>
        <v>3</v>
      </c>
      <c r="O169" s="68" t="str">
        <f t="shared" si="26"/>
        <v>Home</v>
      </c>
      <c r="P169" s="68" t="str">
        <f t="shared" si="27"/>
        <v>RSTU9</v>
      </c>
      <c r="Q169" s="68" t="str">
        <f t="shared" si="28"/>
        <v>WIEN9</v>
      </c>
      <c r="R169" s="68" t="e">
        <f>INDEX(RankPoints!$B$4:$AK$19,$B169+1,MATCH(Results!$I169,RankPoints!$B$4:$AK$4,0))</f>
        <v>#N/A</v>
      </c>
      <c r="S169" s="68" t="e">
        <f>INDEX(RankPoints!$B$4:$AK$19,$B169+1,MATCH(Results!$J169,RankPoints!$B$4:$AK$4,0))</f>
        <v>#N/A</v>
      </c>
      <c r="T169" s="68">
        <f t="shared" si="29"/>
        <v>1</v>
      </c>
      <c r="U169" s="155">
        <f t="shared" si="30"/>
        <v>0</v>
      </c>
      <c r="V169" s="156" t="e">
        <f>1/(1+(10^($X169/'[1]Teams'!$F$3)))</f>
        <v>#N/A</v>
      </c>
      <c r="W169" s="157" t="e">
        <f>1/(1+(10^($Y169/'[1]Teams'!$F$3)))</f>
        <v>#N/A</v>
      </c>
      <c r="X169" s="68" t="e">
        <f t="shared" si="31"/>
        <v>#N/A</v>
      </c>
      <c r="Y169" s="155" t="e">
        <f t="shared" si="32"/>
        <v>#N/A</v>
      </c>
      <c r="Z169" s="68" t="e">
        <f>ROUND($R169+(Teams!$H$2*($T169-$V169)),0)</f>
        <v>#N/A</v>
      </c>
      <c r="AA169" s="158" t="e">
        <f>ROUND($S169+(Teams!$H$2*($U169-$W169)),0)</f>
        <v>#N/A</v>
      </c>
    </row>
    <row r="170" spans="2:27" ht="12.75">
      <c r="B170" s="158">
        <v>9</v>
      </c>
      <c r="C170" s="216" t="s">
        <v>20</v>
      </c>
      <c r="D170" s="171">
        <v>27</v>
      </c>
      <c r="E170" s="175">
        <v>13</v>
      </c>
      <c r="F170" s="221" t="s">
        <v>145</v>
      </c>
      <c r="G170" s="151" t="str">
        <f>INDEX(Teams!$B$5:$H$45,MATCH(Results!$C170,Teams!$B$5:$B$45,0),3)</f>
        <v>Capital Coliseum</v>
      </c>
      <c r="H170" s="151" t="str">
        <f>INDEX(Teams!$B$5:$H$45,MATCH(Results!$C170,Teams!$B$5:$B$45,0),5)</f>
        <v>Horizon</v>
      </c>
      <c r="I170" s="152" t="str">
        <f>INDEX(Teams!$B$5:$H$45,MATCH(Results!$C170,Teams!$B$5:$B$45,0),6)</f>
        <v>RCU</v>
      </c>
      <c r="J170" s="152" t="str">
        <f>INDEX(Teams!$B$5:$H$45,MATCH(Results!$F170,Teams!$B$5:$B$45,0),6)</f>
        <v>INDN</v>
      </c>
      <c r="K170" s="69" t="str">
        <f t="shared" si="22"/>
        <v>RCUINDN</v>
      </c>
      <c r="L170" s="68" t="str">
        <f t="shared" si="23"/>
        <v>RCU</v>
      </c>
      <c r="M170" s="68">
        <f t="shared" si="24"/>
        <v>1</v>
      </c>
      <c r="N170" s="68">
        <f t="shared" si="25"/>
        <v>14</v>
      </c>
      <c r="O170" s="68" t="str">
        <f t="shared" si="26"/>
        <v>Home</v>
      </c>
      <c r="P170" s="68" t="str">
        <f t="shared" si="27"/>
        <v>RCU9</v>
      </c>
      <c r="Q170" s="68" t="str">
        <f t="shared" si="28"/>
        <v>INDN9</v>
      </c>
      <c r="R170" s="68">
        <f>INDEX(RankPoints!$B$4:$AK$19,$B170+1,MATCH(Results!$I170,RankPoints!$B$4:$AK$4,0))</f>
        <v>1380</v>
      </c>
      <c r="S170" s="68" t="e">
        <f>INDEX(RankPoints!$B$4:$AK$19,$B170+1,MATCH(Results!$J170,RankPoints!$B$4:$AK$4,0))</f>
        <v>#N/A</v>
      </c>
      <c r="T170" s="68">
        <f t="shared" si="29"/>
        <v>1</v>
      </c>
      <c r="U170" s="155">
        <f t="shared" si="30"/>
        <v>0</v>
      </c>
      <c r="V170" s="156" t="e">
        <f>1/(1+(10^($X170/'[1]Teams'!$F$3)))</f>
        <v>#N/A</v>
      </c>
      <c r="W170" s="157" t="e">
        <f>1/(1+(10^($Y170/'[1]Teams'!$F$3)))</f>
        <v>#N/A</v>
      </c>
      <c r="X170" s="68" t="e">
        <f t="shared" si="31"/>
        <v>#N/A</v>
      </c>
      <c r="Y170" s="155" t="e">
        <f t="shared" si="32"/>
        <v>#N/A</v>
      </c>
      <c r="Z170" s="68" t="e">
        <f>ROUND($R170+(Teams!$H$2*($T170-$V170)),0)</f>
        <v>#N/A</v>
      </c>
      <c r="AA170" s="158" t="e">
        <f>ROUND($S170+(Teams!$H$2*($U170-$W170)),0)</f>
        <v>#N/A</v>
      </c>
    </row>
    <row r="171" spans="2:27" ht="12.75">
      <c r="B171" s="158">
        <v>9</v>
      </c>
      <c r="C171" s="216" t="s">
        <v>251</v>
      </c>
      <c r="D171" s="171">
        <v>6</v>
      </c>
      <c r="E171" s="175">
        <v>10</v>
      </c>
      <c r="F171" s="221" t="s">
        <v>121</v>
      </c>
      <c r="G171" s="151" t="str">
        <f>INDEX(Teams!$B$5:$H$45,MATCH(Results!$C171,Teams!$B$5:$B$45,0),3)</f>
        <v>The Nest of Fire</v>
      </c>
      <c r="H171" s="151" t="str">
        <f>INDEX(Teams!$B$5:$H$45,MATCH(Results!$C171,Teams!$B$5:$B$45,0),5)</f>
        <v>Mineral</v>
      </c>
      <c r="I171" s="152" t="str">
        <f>INDEX(Teams!$B$5:$H$45,MATCH(Results!$C171,Teams!$B$5:$B$45,0),6)</f>
        <v>HRLP</v>
      </c>
      <c r="J171" s="152" t="str">
        <f>INDEX(Teams!$B$5:$H$45,MATCH(Results!$F171,Teams!$B$5:$B$45,0),6)</f>
        <v>CRGA</v>
      </c>
      <c r="K171" s="69" t="str">
        <f t="shared" si="22"/>
        <v>HRLPCRGA</v>
      </c>
      <c r="L171" s="68" t="str">
        <f t="shared" si="23"/>
        <v>CRGA</v>
      </c>
      <c r="M171" s="68">
        <f t="shared" si="24"/>
        <v>1</v>
      </c>
      <c r="N171" s="68">
        <f t="shared" si="25"/>
        <v>4</v>
      </c>
      <c r="O171" s="68" t="str">
        <f t="shared" si="26"/>
        <v>Away</v>
      </c>
      <c r="P171" s="68" t="str">
        <f t="shared" si="27"/>
        <v>HRLP9</v>
      </c>
      <c r="Q171" s="68" t="str">
        <f t="shared" si="28"/>
        <v>CRGA9</v>
      </c>
      <c r="R171" s="68" t="e">
        <f>INDEX(RankPoints!$B$4:$AK$19,$B171+1,MATCH(Results!$I171,RankPoints!$B$4:$AK$4,0))</f>
        <v>#N/A</v>
      </c>
      <c r="S171" s="68" t="e">
        <f>INDEX(RankPoints!$B$4:$AK$19,$B171+1,MATCH(Results!$J171,RankPoints!$B$4:$AK$4,0))</f>
        <v>#N/A</v>
      </c>
      <c r="T171" s="68">
        <f t="shared" si="29"/>
        <v>0</v>
      </c>
      <c r="U171" s="155">
        <f t="shared" si="30"/>
        <v>1</v>
      </c>
      <c r="V171" s="156" t="e">
        <f>1/(1+(10^($X171/'[1]Teams'!$F$3)))</f>
        <v>#N/A</v>
      </c>
      <c r="W171" s="157" t="e">
        <f>1/(1+(10^($Y171/'[1]Teams'!$F$3)))</f>
        <v>#N/A</v>
      </c>
      <c r="X171" s="68" t="e">
        <f t="shared" si="31"/>
        <v>#N/A</v>
      </c>
      <c r="Y171" s="155" t="e">
        <f t="shared" si="32"/>
        <v>#N/A</v>
      </c>
      <c r="Z171" s="68" t="e">
        <f>ROUND($R171+(Teams!$H$2*($T171-$V171)),0)</f>
        <v>#N/A</v>
      </c>
      <c r="AA171" s="158" t="e">
        <f>ROUND($S171+(Teams!$H$2*($U171-$W171)),0)</f>
        <v>#N/A</v>
      </c>
    </row>
    <row r="172" spans="2:27" ht="12.75">
      <c r="B172" s="158">
        <v>9</v>
      </c>
      <c r="C172" s="216" t="s">
        <v>266</v>
      </c>
      <c r="D172" s="171">
        <v>24</v>
      </c>
      <c r="E172" s="175">
        <v>0</v>
      </c>
      <c r="F172" s="221" t="s">
        <v>146</v>
      </c>
      <c r="G172" s="151" t="str">
        <f>INDEX(Teams!$B$5:$H$45,MATCH(Results!$C172,Teams!$B$5:$B$45,0),3)</f>
        <v>ATD Park</v>
      </c>
      <c r="H172" s="151" t="str">
        <f>INDEX(Teams!$B$5:$H$45,MATCH(Results!$C172,Teams!$B$5:$B$45,0),5)</f>
        <v>Mineral</v>
      </c>
      <c r="I172" s="152" t="str">
        <f>INDEX(Teams!$B$5:$H$45,MATCH(Results!$C172,Teams!$B$5:$B$45,0),6)</f>
        <v>UPSL</v>
      </c>
      <c r="J172" s="152" t="str">
        <f>INDEX(Teams!$B$5:$H$45,MATCH(Results!$F172,Teams!$B$5:$B$45,0),6)</f>
        <v>WSIT</v>
      </c>
      <c r="K172" s="69" t="str">
        <f t="shared" si="22"/>
        <v>UPSLWSIT</v>
      </c>
      <c r="L172" s="68" t="str">
        <f t="shared" si="23"/>
        <v>UPSL</v>
      </c>
      <c r="M172" s="68">
        <f t="shared" si="24"/>
        <v>1</v>
      </c>
      <c r="N172" s="68">
        <f t="shared" si="25"/>
        <v>24</v>
      </c>
      <c r="O172" s="68" t="str">
        <f t="shared" si="26"/>
        <v>Home</v>
      </c>
      <c r="P172" s="68" t="str">
        <f t="shared" si="27"/>
        <v>UPSL9</v>
      </c>
      <c r="Q172" s="68" t="str">
        <f t="shared" si="28"/>
        <v>WSIT9</v>
      </c>
      <c r="R172" s="68">
        <f>INDEX(RankPoints!$B$4:$AK$19,$B172+1,MATCH(Results!$I172,RankPoints!$B$4:$AK$4,0))</f>
        <v>0</v>
      </c>
      <c r="S172" s="68" t="e">
        <f>INDEX(RankPoints!$B$4:$AK$19,$B172+1,MATCH(Results!$J172,RankPoints!$B$4:$AK$4,0))</f>
        <v>#N/A</v>
      </c>
      <c r="T172" s="68">
        <f t="shared" si="29"/>
        <v>1</v>
      </c>
      <c r="U172" s="155">
        <f t="shared" si="30"/>
        <v>0</v>
      </c>
      <c r="V172" s="156" t="e">
        <f>1/(1+(10^($X172/'[1]Teams'!$F$3)))</f>
        <v>#N/A</v>
      </c>
      <c r="W172" s="157" t="e">
        <f>1/(1+(10^($Y172/'[1]Teams'!$F$3)))</f>
        <v>#N/A</v>
      </c>
      <c r="X172" s="68" t="e">
        <f t="shared" si="31"/>
        <v>#N/A</v>
      </c>
      <c r="Y172" s="155" t="e">
        <f t="shared" si="32"/>
        <v>#N/A</v>
      </c>
      <c r="Z172" s="68" t="e">
        <f>ROUND($R172+(Teams!$H$2*($T172-$V172)),0)</f>
        <v>#N/A</v>
      </c>
      <c r="AA172" s="158" t="e">
        <f>ROUND($S172+(Teams!$H$2*($U172-$W172)),0)</f>
        <v>#N/A</v>
      </c>
    </row>
    <row r="173" spans="2:27" ht="12.75">
      <c r="B173" s="158">
        <v>9</v>
      </c>
      <c r="C173" s="216" t="s">
        <v>150</v>
      </c>
      <c r="D173" s="171">
        <v>13</v>
      </c>
      <c r="E173" s="175">
        <v>23</v>
      </c>
      <c r="F173" s="221" t="s">
        <v>80</v>
      </c>
      <c r="G173" s="151" t="str">
        <f>INDEX(Teams!$B$5:$H$45,MATCH(Results!$C173,Teams!$B$5:$B$45,0),3)</f>
        <v>Roger Jalston Memorial Stadium</v>
      </c>
      <c r="H173" s="151" t="str">
        <f>INDEX(Teams!$B$5:$H$45,MATCH(Results!$C173,Teams!$B$5:$B$45,0),5)</f>
        <v>Mineral</v>
      </c>
      <c r="I173" s="152" t="str">
        <f>INDEX(Teams!$B$5:$H$45,MATCH(Results!$C173,Teams!$B$5:$B$45,0),6)</f>
        <v>RICH</v>
      </c>
      <c r="J173" s="152" t="str">
        <f>INDEX(Teams!$B$5:$H$45,MATCH(Results!$F173,Teams!$B$5:$B$45,0),6)</f>
        <v>OCSU</v>
      </c>
      <c r="K173" s="69" t="str">
        <f t="shared" si="22"/>
        <v>RICHOCSU</v>
      </c>
      <c r="L173" s="68" t="str">
        <f t="shared" si="23"/>
        <v>OCSU</v>
      </c>
      <c r="M173" s="68">
        <f t="shared" si="24"/>
        <v>1</v>
      </c>
      <c r="N173" s="68">
        <f t="shared" si="25"/>
        <v>10</v>
      </c>
      <c r="O173" s="68" t="str">
        <f t="shared" si="26"/>
        <v>Away</v>
      </c>
      <c r="P173" s="68" t="str">
        <f t="shared" si="27"/>
        <v>RICH9</v>
      </c>
      <c r="Q173" s="68" t="str">
        <f t="shared" si="28"/>
        <v>OCSU9</v>
      </c>
      <c r="R173" s="68" t="e">
        <f>INDEX(RankPoints!$B$4:$AK$19,$B173+1,MATCH(Results!$I173,RankPoints!$B$4:$AK$4,0))</f>
        <v>#N/A</v>
      </c>
      <c r="S173" s="68">
        <f>INDEX(RankPoints!$B$4:$AK$19,$B173+1,MATCH(Results!$J173,RankPoints!$B$4:$AK$4,0))</f>
        <v>1516</v>
      </c>
      <c r="T173" s="68">
        <f t="shared" si="29"/>
        <v>0</v>
      </c>
      <c r="U173" s="155">
        <f t="shared" si="30"/>
        <v>1</v>
      </c>
      <c r="V173" s="156" t="e">
        <f>1/(1+(10^($X173/'[1]Teams'!$F$3)))</f>
        <v>#N/A</v>
      </c>
      <c r="W173" s="157" t="e">
        <f>1/(1+(10^($Y173/'[1]Teams'!$F$3)))</f>
        <v>#N/A</v>
      </c>
      <c r="X173" s="68" t="e">
        <f t="shared" si="31"/>
        <v>#N/A</v>
      </c>
      <c r="Y173" s="155" t="e">
        <f t="shared" si="32"/>
        <v>#N/A</v>
      </c>
      <c r="Z173" s="68" t="e">
        <f>ROUND($R173+(Teams!$H$2*($T173-$V173)),0)</f>
        <v>#N/A</v>
      </c>
      <c r="AA173" s="158" t="e">
        <f>ROUND($S173+(Teams!$H$2*($U173-$W173)),0)</f>
        <v>#N/A</v>
      </c>
    </row>
    <row r="174" spans="2:27" ht="12.75">
      <c r="B174" s="158">
        <v>9</v>
      </c>
      <c r="C174" s="216" t="s">
        <v>155</v>
      </c>
      <c r="D174" s="171">
        <v>0</v>
      </c>
      <c r="E174" s="175">
        <v>17</v>
      </c>
      <c r="F174" s="221" t="s">
        <v>156</v>
      </c>
      <c r="G174" s="151" t="str">
        <f>INDEX(Teams!$B$5:$H$45,MATCH(Results!$C174,Teams!$B$5:$B$45,0),3)</f>
        <v>East Kilbride Area</v>
      </c>
      <c r="H174" s="151" t="str">
        <f>INDEX(Teams!$B$5:$H$45,MATCH(Results!$C174,Teams!$B$5:$B$45,0),5)</f>
        <v>Mineral</v>
      </c>
      <c r="I174" s="152" t="str">
        <f>INDEX(Teams!$B$5:$H$45,MATCH(Results!$C174,Teams!$B$5:$B$45,0),6)</f>
        <v>EKIL</v>
      </c>
      <c r="J174" s="152" t="str">
        <f>INDEX(Teams!$B$5:$H$45,MATCH(Results!$F174,Teams!$B$5:$B$45,0),6)</f>
        <v>BLUE</v>
      </c>
      <c r="K174" s="69" t="str">
        <f t="shared" si="22"/>
        <v>EKILBLUE</v>
      </c>
      <c r="L174" s="68" t="str">
        <f t="shared" si="23"/>
        <v>BLUE</v>
      </c>
      <c r="M174" s="68">
        <f t="shared" si="24"/>
        <v>1</v>
      </c>
      <c r="N174" s="68">
        <f t="shared" si="25"/>
        <v>17</v>
      </c>
      <c r="O174" s="68" t="str">
        <f t="shared" si="26"/>
        <v>Away</v>
      </c>
      <c r="P174" s="68" t="str">
        <f t="shared" si="27"/>
        <v>EKIL9</v>
      </c>
      <c r="Q174" s="68" t="str">
        <f t="shared" si="28"/>
        <v>BLUE9</v>
      </c>
      <c r="R174" s="68" t="e">
        <f>INDEX(RankPoints!$B$4:$AK$19,$B174+1,MATCH(Results!$I174,RankPoints!$B$4:$AK$4,0))</f>
        <v>#N/A</v>
      </c>
      <c r="S174" s="68" t="e">
        <f>INDEX(RankPoints!$B$4:$AK$19,$B174+1,MATCH(Results!$J174,RankPoints!$B$4:$AK$4,0))</f>
        <v>#N/A</v>
      </c>
      <c r="T174" s="68">
        <f t="shared" si="29"/>
        <v>0</v>
      </c>
      <c r="U174" s="155">
        <f t="shared" si="30"/>
        <v>1</v>
      </c>
      <c r="V174" s="156" t="e">
        <f>1/(1+(10^($X174/'[1]Teams'!$F$3)))</f>
        <v>#N/A</v>
      </c>
      <c r="W174" s="157" t="e">
        <f>1/(1+(10^($Y174/'[1]Teams'!$F$3)))</f>
        <v>#N/A</v>
      </c>
      <c r="X174" s="68" t="e">
        <f t="shared" si="31"/>
        <v>#N/A</v>
      </c>
      <c r="Y174" s="155" t="e">
        <f t="shared" si="32"/>
        <v>#N/A</v>
      </c>
      <c r="Z174" s="68" t="e">
        <f>ROUND($R174+(Teams!$H$2*($T174-$V174)),0)</f>
        <v>#N/A</v>
      </c>
      <c r="AA174" s="158" t="e">
        <f>ROUND($S174+(Teams!$H$2*($U174-$W174)),0)</f>
        <v>#N/A</v>
      </c>
    </row>
    <row r="175" spans="2:27" ht="12.75">
      <c r="B175" s="158">
        <v>9</v>
      </c>
      <c r="C175" s="216" t="s">
        <v>119</v>
      </c>
      <c r="D175" s="171">
        <v>13</v>
      </c>
      <c r="E175" s="175">
        <v>40</v>
      </c>
      <c r="F175" s="221" t="s">
        <v>269</v>
      </c>
      <c r="G175" s="151" t="str">
        <f>INDEX(Teams!$B$5:$H$45,MATCH(Results!$C175,Teams!$B$5:$B$45,0),3)</f>
        <v>Parah Dome</v>
      </c>
      <c r="H175" s="151" t="str">
        <f>INDEX(Teams!$B$5:$H$45,MATCH(Results!$C175,Teams!$B$5:$B$45,0),5)</f>
        <v>Sequoia</v>
      </c>
      <c r="I175" s="152" t="str">
        <f>INDEX(Teams!$B$5:$H$45,MATCH(Results!$C175,Teams!$B$5:$B$45,0),6)</f>
        <v>NETT</v>
      </c>
      <c r="J175" s="152" t="str">
        <f>INDEX(Teams!$B$5:$H$45,MATCH(Results!$F175,Teams!$B$5:$B$45,0),6)</f>
        <v>STJN</v>
      </c>
      <c r="K175" s="69" t="str">
        <f t="shared" si="22"/>
        <v>NETTSTJN</v>
      </c>
      <c r="L175" s="68" t="str">
        <f t="shared" si="23"/>
        <v>STJN</v>
      </c>
      <c r="M175" s="68">
        <f t="shared" si="24"/>
        <v>1</v>
      </c>
      <c r="N175" s="68">
        <f t="shared" si="25"/>
        <v>27</v>
      </c>
      <c r="O175" s="68" t="str">
        <f t="shared" si="26"/>
        <v>Away</v>
      </c>
      <c r="P175" s="68" t="str">
        <f t="shared" si="27"/>
        <v>NETT9</v>
      </c>
      <c r="Q175" s="68" t="str">
        <f t="shared" si="28"/>
        <v>STJN9</v>
      </c>
      <c r="R175" s="68" t="e">
        <f>INDEX(RankPoints!$B$4:$AK$19,$B175+1,MATCH(Results!$I175,RankPoints!$B$4:$AK$4,0))</f>
        <v>#N/A</v>
      </c>
      <c r="S175" s="68">
        <f>INDEX(RankPoints!$B$4:$AK$19,$B175+1,MATCH(Results!$J175,RankPoints!$B$4:$AK$4,0))</f>
        <v>-3093</v>
      </c>
      <c r="T175" s="68">
        <f t="shared" si="29"/>
        <v>0</v>
      </c>
      <c r="U175" s="155">
        <f t="shared" si="30"/>
        <v>1</v>
      </c>
      <c r="V175" s="156" t="e">
        <f>1/(1+(10^($X175/'[1]Teams'!$F$3)))</f>
        <v>#N/A</v>
      </c>
      <c r="W175" s="157" t="e">
        <f>1/(1+(10^($Y175/'[1]Teams'!$F$3)))</f>
        <v>#N/A</v>
      </c>
      <c r="X175" s="68" t="e">
        <f t="shared" si="31"/>
        <v>#N/A</v>
      </c>
      <c r="Y175" s="155" t="e">
        <f t="shared" si="32"/>
        <v>#N/A</v>
      </c>
      <c r="Z175" s="68" t="e">
        <f>ROUND($R175+(Teams!$H$2*($T175-$V175)),0)</f>
        <v>#N/A</v>
      </c>
      <c r="AA175" s="158" t="e">
        <f>ROUND($S175+(Teams!$H$2*($U175-$W175)),0)</f>
        <v>#N/A</v>
      </c>
    </row>
    <row r="176" spans="2:27" ht="12.75">
      <c r="B176" s="158">
        <v>9</v>
      </c>
      <c r="C176" s="216" t="s">
        <v>112</v>
      </c>
      <c r="D176" s="171">
        <v>16</v>
      </c>
      <c r="E176" s="175">
        <v>13</v>
      </c>
      <c r="F176" s="221" t="s">
        <v>111</v>
      </c>
      <c r="G176" s="151" t="str">
        <f>INDEX(Teams!$B$5:$H$45,MATCH(Results!$C176,Teams!$B$5:$B$45,0),3)</f>
        <v>George Litchko Stadium</v>
      </c>
      <c r="H176" s="151" t="str">
        <f>INDEX(Teams!$B$5:$H$45,MATCH(Results!$C176,Teams!$B$5:$B$45,0),5)</f>
        <v>Sequoia</v>
      </c>
      <c r="I176" s="152" t="str">
        <f>INDEX(Teams!$B$5:$H$45,MATCH(Results!$C176,Teams!$B$5:$B$45,0),6)</f>
        <v>FHST</v>
      </c>
      <c r="J176" s="152" t="str">
        <f>INDEX(Teams!$B$5:$H$45,MATCH(Results!$F176,Teams!$B$5:$B$45,0),6)</f>
        <v>NRDN</v>
      </c>
      <c r="K176" s="69" t="str">
        <f t="shared" si="22"/>
        <v>FHSTNRDN</v>
      </c>
      <c r="L176" s="68" t="str">
        <f t="shared" si="23"/>
        <v>FHST</v>
      </c>
      <c r="M176" s="68">
        <f t="shared" si="24"/>
        <v>1</v>
      </c>
      <c r="N176" s="68">
        <f t="shared" si="25"/>
        <v>3</v>
      </c>
      <c r="O176" s="68" t="str">
        <f t="shared" si="26"/>
        <v>Home</v>
      </c>
      <c r="P176" s="68" t="str">
        <f t="shared" si="27"/>
        <v>FHST9</v>
      </c>
      <c r="Q176" s="68" t="str">
        <f t="shared" si="28"/>
        <v>NRDN9</v>
      </c>
      <c r="R176" s="68">
        <f>INDEX(RankPoints!$B$4:$AK$19,$B176+1,MATCH(Results!$I176,RankPoints!$B$4:$AK$4,0))</f>
        <v>3180</v>
      </c>
      <c r="S176" s="68">
        <f>INDEX(RankPoints!$B$4:$AK$19,$B176+1,MATCH(Results!$J176,RankPoints!$B$4:$AK$4,0))</f>
        <v>72</v>
      </c>
      <c r="T176" s="68">
        <f t="shared" si="29"/>
        <v>1</v>
      </c>
      <c r="U176" s="155">
        <f t="shared" si="30"/>
        <v>0</v>
      </c>
      <c r="V176" s="156">
        <f>1/(1+(10^($X176/'[1]Teams'!$F$3)))</f>
        <v>1.698243623621429E-08</v>
      </c>
      <c r="W176" s="157">
        <f>1/(1+(10^($Y176/'[1]Teams'!$F$3)))</f>
        <v>0.9999999830175638</v>
      </c>
      <c r="X176" s="68">
        <f t="shared" si="31"/>
        <v>3108</v>
      </c>
      <c r="Y176" s="155">
        <f t="shared" si="32"/>
        <v>-3108</v>
      </c>
      <c r="Z176" s="68">
        <f>ROUND($R176+(Teams!$H$2*($T176-$V176)),0)</f>
        <v>3212</v>
      </c>
      <c r="AA176" s="158">
        <f>ROUND($S176+(Teams!$H$2*($U176-$W176)),0)</f>
        <v>40</v>
      </c>
    </row>
    <row r="177" spans="2:27" ht="12.75">
      <c r="B177" s="158">
        <v>9</v>
      </c>
      <c r="C177" s="216" t="s">
        <v>19</v>
      </c>
      <c r="D177" s="171">
        <v>6</v>
      </c>
      <c r="E177" s="175">
        <v>13</v>
      </c>
      <c r="F177" s="221" t="s">
        <v>79</v>
      </c>
      <c r="G177" s="151" t="str">
        <f>INDEX(Teams!$B$5:$H$45,MATCH(Results!$C177,Teams!$B$5:$B$45,0),3)</f>
        <v>Tiegemburg Park</v>
      </c>
      <c r="H177" s="151" t="str">
        <f>INDEX(Teams!$B$5:$H$45,MATCH(Results!$C177,Teams!$B$5:$B$45,0),5)</f>
        <v>Sequoia</v>
      </c>
      <c r="I177" s="152" t="str">
        <f>INDEX(Teams!$B$5:$H$45,MATCH(Results!$C177,Teams!$B$5:$B$45,0),6)</f>
        <v>ALZD</v>
      </c>
      <c r="J177" s="152" t="str">
        <f>INDEX(Teams!$B$5:$H$45,MATCH(Results!$F177,Teams!$B$5:$B$45,0),6)</f>
        <v>RVMD</v>
      </c>
      <c r="K177" s="69" t="str">
        <f t="shared" si="22"/>
        <v>ALZDRVMD</v>
      </c>
      <c r="L177" s="68" t="str">
        <f t="shared" si="23"/>
        <v>RVMD</v>
      </c>
      <c r="M177" s="68">
        <f t="shared" si="24"/>
        <v>1</v>
      </c>
      <c r="N177" s="68">
        <f t="shared" si="25"/>
        <v>7</v>
      </c>
      <c r="O177" s="68" t="str">
        <f t="shared" si="26"/>
        <v>Away</v>
      </c>
      <c r="P177" s="68" t="str">
        <f t="shared" si="27"/>
        <v>ALZD9</v>
      </c>
      <c r="Q177" s="68" t="str">
        <f t="shared" si="28"/>
        <v>RVMD9</v>
      </c>
      <c r="R177" s="68">
        <f>INDEX(RankPoints!$B$4:$AK$19,$B177+1,MATCH(Results!$I177,RankPoints!$B$4:$AK$4,0))</f>
        <v>-104</v>
      </c>
      <c r="S177" s="68">
        <f>INDEX(RankPoints!$B$4:$AK$19,$B177+1,MATCH(Results!$J177,RankPoints!$B$4:$AK$4,0))</f>
        <v>1479</v>
      </c>
      <c r="T177" s="68">
        <f t="shared" si="29"/>
        <v>0</v>
      </c>
      <c r="U177" s="155">
        <f t="shared" si="30"/>
        <v>1</v>
      </c>
      <c r="V177" s="156">
        <f>1/(1+(10^($X177/'[1]Teams'!$F$3)))</f>
        <v>0.9998897313371339</v>
      </c>
      <c r="W177" s="157">
        <f>1/(1+(10^($Y177/'[1]Teams'!$F$3)))</f>
        <v>0.00011026866286602064</v>
      </c>
      <c r="X177" s="68">
        <f t="shared" si="31"/>
        <v>-1583</v>
      </c>
      <c r="Y177" s="155">
        <f t="shared" si="32"/>
        <v>1583</v>
      </c>
      <c r="Z177" s="68">
        <f>ROUND($R177+(Teams!$H$2*($T177-$V177)),0)</f>
        <v>-136</v>
      </c>
      <c r="AA177" s="158">
        <f>ROUND($S177+(Teams!$H$2*($U177-$W177)),0)</f>
        <v>1511</v>
      </c>
    </row>
    <row r="178" spans="2:27" ht="12.75">
      <c r="B178" s="158">
        <v>9</v>
      </c>
      <c r="C178" s="216" t="s">
        <v>117</v>
      </c>
      <c r="D178" s="171">
        <v>23</v>
      </c>
      <c r="E178" s="175">
        <v>0</v>
      </c>
      <c r="F178" s="221" t="s">
        <v>265</v>
      </c>
      <c r="G178" s="151" t="str">
        <f>INDEX(Teams!$B$5:$H$45,MATCH(Results!$C178,Teams!$B$5:$B$45,0),3)</f>
        <v>Rimben Park</v>
      </c>
      <c r="H178" s="151" t="str">
        <f>INDEX(Teams!$B$5:$H$45,MATCH(Results!$C178,Teams!$B$5:$B$45,0),5)</f>
        <v>Sequoia</v>
      </c>
      <c r="I178" s="152" t="str">
        <f>INDEX(Teams!$B$5:$H$45,MATCH(Results!$C178,Teams!$B$5:$B$45,0),6)</f>
        <v>ALUT</v>
      </c>
      <c r="J178" s="152" t="str">
        <f>INDEX(Teams!$B$5:$H$45,MATCH(Results!$F178,Teams!$B$5:$B$45,0),6)</f>
        <v>ACSP</v>
      </c>
      <c r="K178" s="69" t="str">
        <f t="shared" si="22"/>
        <v>ALUTACSP</v>
      </c>
      <c r="L178" s="68" t="str">
        <f t="shared" si="23"/>
        <v>ALUT</v>
      </c>
      <c r="M178" s="68">
        <f t="shared" si="24"/>
        <v>1</v>
      </c>
      <c r="N178" s="68">
        <f t="shared" si="25"/>
        <v>23</v>
      </c>
      <c r="O178" s="68" t="str">
        <f t="shared" si="26"/>
        <v>Home</v>
      </c>
      <c r="P178" s="68" t="str">
        <f t="shared" si="27"/>
        <v>ALUT9</v>
      </c>
      <c r="Q178" s="68" t="str">
        <f t="shared" si="28"/>
        <v>ACSP9</v>
      </c>
      <c r="R178" s="68" t="e">
        <f>INDEX(RankPoints!$B$4:$AK$19,$B178+1,MATCH(Results!$I178,RankPoints!$B$4:$AK$4,0))</f>
        <v>#N/A</v>
      </c>
      <c r="S178" s="68" t="e">
        <f>INDEX(RankPoints!$B$4:$AK$19,$B178+1,MATCH(Results!$J178,RankPoints!$B$4:$AK$4,0))</f>
        <v>#N/A</v>
      </c>
      <c r="T178" s="68">
        <f t="shared" si="29"/>
        <v>1</v>
      </c>
      <c r="U178" s="155">
        <f t="shared" si="30"/>
        <v>0</v>
      </c>
      <c r="V178" s="156" t="e">
        <f>1/(1+(10^($X178/'[1]Teams'!$F$3)))</f>
        <v>#N/A</v>
      </c>
      <c r="W178" s="157" t="e">
        <f>1/(1+(10^($Y178/'[1]Teams'!$F$3)))</f>
        <v>#N/A</v>
      </c>
      <c r="X178" s="68" t="e">
        <f t="shared" si="31"/>
        <v>#N/A</v>
      </c>
      <c r="Y178" s="155" t="e">
        <f t="shared" si="32"/>
        <v>#N/A</v>
      </c>
      <c r="Z178" s="68" t="e">
        <f>ROUND($R178+(Teams!$H$2*($T178-$V178)),0)</f>
        <v>#N/A</v>
      </c>
      <c r="AA178" s="158" t="e">
        <f>ROUND($S178+(Teams!$H$2*($U178-$W178)),0)</f>
        <v>#N/A</v>
      </c>
    </row>
    <row r="179" spans="2:27" ht="12.75">
      <c r="B179" s="158">
        <v>9</v>
      </c>
      <c r="C179" s="216" t="s">
        <v>109</v>
      </c>
      <c r="D179" s="171">
        <v>23</v>
      </c>
      <c r="E179" s="175">
        <v>0</v>
      </c>
      <c r="F179" s="221" t="s">
        <v>152</v>
      </c>
      <c r="G179" s="151" t="str">
        <f>INDEX(Teams!$B$5:$H$45,MATCH(Results!$C179,Teams!$B$5:$B$45,0),3)</f>
        <v>Walker Field</v>
      </c>
      <c r="H179" s="151" t="str">
        <f>INDEX(Teams!$B$5:$H$45,MATCH(Results!$C179,Teams!$B$5:$B$45,0),5)</f>
        <v>Woodlands</v>
      </c>
      <c r="I179" s="152" t="str">
        <f>INDEX(Teams!$B$5:$H$45,MATCH(Results!$C179,Teams!$B$5:$B$45,0),6)</f>
        <v>ARKN</v>
      </c>
      <c r="J179" s="152" t="str">
        <f>INDEX(Teams!$B$5:$H$45,MATCH(Results!$F179,Teams!$B$5:$B$45,0),6)</f>
        <v>WALT</v>
      </c>
      <c r="K179" s="69" t="str">
        <f t="shared" si="22"/>
        <v>ARKNWALT</v>
      </c>
      <c r="L179" s="68" t="str">
        <f t="shared" si="23"/>
        <v>ARKN</v>
      </c>
      <c r="M179" s="68">
        <f t="shared" si="24"/>
        <v>1</v>
      </c>
      <c r="N179" s="68">
        <f t="shared" si="25"/>
        <v>23</v>
      </c>
      <c r="O179" s="68" t="str">
        <f t="shared" si="26"/>
        <v>Home</v>
      </c>
      <c r="P179" s="68" t="str">
        <f t="shared" si="27"/>
        <v>ARKN9</v>
      </c>
      <c r="Q179" s="68" t="str">
        <f t="shared" si="28"/>
        <v>WALT9</v>
      </c>
      <c r="R179" s="68">
        <f>INDEX(RankPoints!$B$4:$AK$19,$B179+1,MATCH(Results!$I179,RankPoints!$B$4:$AK$4,0))</f>
        <v>351</v>
      </c>
      <c r="S179" s="68" t="e">
        <f>INDEX(RankPoints!$B$4:$AK$19,$B179+1,MATCH(Results!$J179,RankPoints!$B$4:$AK$4,0))</f>
        <v>#N/A</v>
      </c>
      <c r="T179" s="68">
        <f t="shared" si="29"/>
        <v>1</v>
      </c>
      <c r="U179" s="155">
        <f t="shared" si="30"/>
        <v>0</v>
      </c>
      <c r="V179" s="156" t="e">
        <f>1/(1+(10^($X179/'[1]Teams'!$F$3)))</f>
        <v>#N/A</v>
      </c>
      <c r="W179" s="157" t="e">
        <f>1/(1+(10^($Y179/'[1]Teams'!$F$3)))</f>
        <v>#N/A</v>
      </c>
      <c r="X179" s="68" t="e">
        <f t="shared" si="31"/>
        <v>#N/A</v>
      </c>
      <c r="Y179" s="155" t="e">
        <f t="shared" si="32"/>
        <v>#N/A</v>
      </c>
      <c r="Z179" s="68" t="e">
        <f>ROUND($R179+(Teams!$H$2*($T179-$V179)),0)</f>
        <v>#N/A</v>
      </c>
      <c r="AA179" s="158" t="e">
        <f>ROUND($S179+(Teams!$H$2*($U179-$W179)),0)</f>
        <v>#N/A</v>
      </c>
    </row>
    <row r="180" spans="2:27" ht="12.75">
      <c r="B180" s="158">
        <v>9</v>
      </c>
      <c r="C180" s="216" t="s">
        <v>158</v>
      </c>
      <c r="D180" s="171">
        <v>37</v>
      </c>
      <c r="E180" s="175">
        <v>22</v>
      </c>
      <c r="F180" s="221" t="s">
        <v>125</v>
      </c>
      <c r="G180" s="151" t="str">
        <f>INDEX(Teams!$B$5:$H$45,MATCH(Results!$C180,Teams!$B$5:$B$45,0),3)</f>
        <v>The Brown House</v>
      </c>
      <c r="H180" s="151" t="str">
        <f>INDEX(Teams!$B$5:$H$45,MATCH(Results!$C180,Teams!$B$5:$B$45,0),5)</f>
        <v>Woodlands</v>
      </c>
      <c r="I180" s="152" t="str">
        <f>INDEX(Teams!$B$5:$H$45,MATCH(Results!$C180,Teams!$B$5:$B$45,0),6)</f>
        <v>TOUF</v>
      </c>
      <c r="J180" s="152" t="str">
        <f>INDEX(Teams!$B$5:$H$45,MATCH(Results!$F180,Teams!$B$5:$B$45,0),6)</f>
        <v>JGZA</v>
      </c>
      <c r="K180" s="69" t="str">
        <f t="shared" si="22"/>
        <v>TOUFJGZA</v>
      </c>
      <c r="L180" s="68" t="str">
        <f t="shared" si="23"/>
        <v>TOUF</v>
      </c>
      <c r="M180" s="68">
        <f t="shared" si="24"/>
        <v>1</v>
      </c>
      <c r="N180" s="68">
        <f t="shared" si="25"/>
        <v>15</v>
      </c>
      <c r="O180" s="68" t="str">
        <f t="shared" si="26"/>
        <v>Home</v>
      </c>
      <c r="P180" s="68" t="str">
        <f t="shared" si="27"/>
        <v>TOUF9</v>
      </c>
      <c r="Q180" s="68" t="str">
        <f t="shared" si="28"/>
        <v>JGZA9</v>
      </c>
      <c r="R180" s="68" t="e">
        <f>INDEX(RankPoints!$B$4:$AK$19,$B180+1,MATCH(Results!$I180,RankPoints!$B$4:$AK$4,0))</f>
        <v>#N/A</v>
      </c>
      <c r="S180" s="68" t="e">
        <f>INDEX(RankPoints!$B$4:$AK$19,$B180+1,MATCH(Results!$J180,RankPoints!$B$4:$AK$4,0))</f>
        <v>#N/A</v>
      </c>
      <c r="T180" s="68">
        <f t="shared" si="29"/>
        <v>1</v>
      </c>
      <c r="U180" s="155">
        <f t="shared" si="30"/>
        <v>0</v>
      </c>
      <c r="V180" s="156" t="e">
        <f>1/(1+(10^($X180/'[1]Teams'!$F$3)))</f>
        <v>#N/A</v>
      </c>
      <c r="W180" s="157" t="e">
        <f>1/(1+(10^($Y180/'[1]Teams'!$F$3)))</f>
        <v>#N/A</v>
      </c>
      <c r="X180" s="68" t="e">
        <f t="shared" si="31"/>
        <v>#N/A</v>
      </c>
      <c r="Y180" s="155" t="e">
        <f t="shared" si="32"/>
        <v>#N/A</v>
      </c>
      <c r="Z180" s="68" t="e">
        <f>ROUND($R180+(Teams!$H$2*($T180-$V180)),0)</f>
        <v>#N/A</v>
      </c>
      <c r="AA180" s="158" t="e">
        <f>ROUND($S180+(Teams!$H$2*($U180-$W180)),0)</f>
        <v>#N/A</v>
      </c>
    </row>
    <row r="181" spans="2:27" ht="12.75">
      <c r="B181" s="158">
        <v>9</v>
      </c>
      <c r="C181" s="216" t="s">
        <v>255</v>
      </c>
      <c r="D181" s="171">
        <v>0</v>
      </c>
      <c r="E181" s="175">
        <v>29</v>
      </c>
      <c r="F181" s="221" t="s">
        <v>110</v>
      </c>
      <c r="G181" s="151" t="str">
        <f>INDEX(Teams!$B$5:$H$45,MATCH(Results!$C181,Teams!$B$5:$B$45,0),3)</f>
        <v>The Hawks Nest</v>
      </c>
      <c r="H181" s="151" t="str">
        <f>INDEX(Teams!$B$5:$H$45,MATCH(Results!$C181,Teams!$B$5:$B$45,0),5)</f>
        <v>Woodlands</v>
      </c>
      <c r="I181" s="152" t="str">
        <f>INDEX(Teams!$B$5:$H$45,MATCH(Results!$C181,Teams!$B$5:$B$45,0),6)</f>
        <v>HUDS</v>
      </c>
      <c r="J181" s="152" t="str">
        <f>INDEX(Teams!$B$5:$H$45,MATCH(Results!$F181,Teams!$B$5:$B$45,0),6)</f>
        <v>UTCA</v>
      </c>
      <c r="K181" s="69" t="str">
        <f t="shared" si="22"/>
        <v>HUDSUTCA</v>
      </c>
      <c r="L181" s="68" t="str">
        <f t="shared" si="23"/>
        <v>UTCA</v>
      </c>
      <c r="M181" s="68">
        <f t="shared" si="24"/>
        <v>1</v>
      </c>
      <c r="N181" s="68">
        <f t="shared" si="25"/>
        <v>29</v>
      </c>
      <c r="O181" s="68" t="str">
        <f t="shared" si="26"/>
        <v>Away</v>
      </c>
      <c r="P181" s="68" t="str">
        <f t="shared" si="27"/>
        <v>HUDS9</v>
      </c>
      <c r="Q181" s="68" t="str">
        <f t="shared" si="28"/>
        <v>UTCA9</v>
      </c>
      <c r="R181" s="68" t="e">
        <f>INDEX(RankPoints!$B$4:$AK$19,$B181+1,MATCH(Results!$I181,RankPoints!$B$4:$AK$4,0))</f>
        <v>#N/A</v>
      </c>
      <c r="S181" s="68">
        <f>INDEX(RankPoints!$B$4:$AK$19,$B181+1,MATCH(Results!$J181,RankPoints!$B$4:$AK$4,0))</f>
        <v>799</v>
      </c>
      <c r="T181" s="68">
        <f t="shared" si="29"/>
        <v>0</v>
      </c>
      <c r="U181" s="155">
        <f t="shared" si="30"/>
        <v>1</v>
      </c>
      <c r="V181" s="156" t="e">
        <f>1/(1+(10^($X181/'[1]Teams'!$F$3)))</f>
        <v>#N/A</v>
      </c>
      <c r="W181" s="157" t="e">
        <f>1/(1+(10^($Y181/'[1]Teams'!$F$3)))</f>
        <v>#N/A</v>
      </c>
      <c r="X181" s="68" t="e">
        <f t="shared" si="31"/>
        <v>#N/A</v>
      </c>
      <c r="Y181" s="155" t="e">
        <f t="shared" si="32"/>
        <v>#N/A</v>
      </c>
      <c r="Z181" s="68" t="e">
        <f>ROUND($R181+(Teams!$H$2*($T181-$V181)),0)</f>
        <v>#N/A</v>
      </c>
      <c r="AA181" s="158" t="e">
        <f>ROUND($S181+(Teams!$H$2*($U181-$W181)),0)</f>
        <v>#N/A</v>
      </c>
    </row>
    <row r="182" spans="2:27" ht="12.75">
      <c r="B182" s="158">
        <v>9</v>
      </c>
      <c r="C182" s="216" t="s">
        <v>78</v>
      </c>
      <c r="D182" s="171">
        <v>9</v>
      </c>
      <c r="E182" s="175">
        <v>0</v>
      </c>
      <c r="F182" s="221" t="s">
        <v>127</v>
      </c>
      <c r="G182" s="151" t="str">
        <f>INDEX(Teams!$B$5:$H$45,MATCH(Results!$C182,Teams!$B$5:$B$45,0),3)</f>
        <v>Red Plains Stadium</v>
      </c>
      <c r="H182" s="151" t="str">
        <f>INDEX(Teams!$B$5:$H$45,MATCH(Results!$C182,Teams!$B$5:$B$45,0),5)</f>
        <v>Woodlands</v>
      </c>
      <c r="I182" s="152" t="str">
        <f>INDEX(Teams!$B$5:$H$45,MATCH(Results!$C182,Teams!$B$5:$B$45,0),6)</f>
        <v>FRBB</v>
      </c>
      <c r="J182" s="152" t="str">
        <f>INDEX(Teams!$B$5:$H$45,MATCH(Results!$F182,Teams!$B$5:$B$45,0),6)</f>
        <v>BUCK</v>
      </c>
      <c r="K182" s="69" t="str">
        <f t="shared" si="22"/>
        <v>FRBBBUCK</v>
      </c>
      <c r="L182" s="68" t="str">
        <f t="shared" si="23"/>
        <v>FRBB</v>
      </c>
      <c r="M182" s="68">
        <f t="shared" si="24"/>
        <v>1</v>
      </c>
      <c r="N182" s="68">
        <f t="shared" si="25"/>
        <v>9</v>
      </c>
      <c r="O182" s="68" t="str">
        <f t="shared" si="26"/>
        <v>Home</v>
      </c>
      <c r="P182" s="68" t="str">
        <f t="shared" si="27"/>
        <v>FRBB9</v>
      </c>
      <c r="Q182" s="68" t="str">
        <f t="shared" si="28"/>
        <v>BUCK9</v>
      </c>
      <c r="R182" s="68">
        <f>INDEX(RankPoints!$B$4:$AK$19,$B182+1,MATCH(Results!$I182,RankPoints!$B$4:$AK$4,0))</f>
        <v>326</v>
      </c>
      <c r="S182" s="68" t="e">
        <f>INDEX(RankPoints!$B$4:$AK$19,$B182+1,MATCH(Results!$J182,RankPoints!$B$4:$AK$4,0))</f>
        <v>#N/A</v>
      </c>
      <c r="T182" s="68">
        <f t="shared" si="29"/>
        <v>1</v>
      </c>
      <c r="U182" s="155">
        <f t="shared" si="30"/>
        <v>0</v>
      </c>
      <c r="V182" s="156" t="e">
        <f>1/(1+(10^($X182/'[1]Teams'!$F$3)))</f>
        <v>#N/A</v>
      </c>
      <c r="W182" s="157" t="e">
        <f>1/(1+(10^($Y182/'[1]Teams'!$F$3)))</f>
        <v>#N/A</v>
      </c>
      <c r="X182" s="68" t="e">
        <f t="shared" si="31"/>
        <v>#N/A</v>
      </c>
      <c r="Y182" s="155" t="e">
        <f t="shared" si="32"/>
        <v>#N/A</v>
      </c>
      <c r="Z182" s="68" t="e">
        <f>ROUND($R182+(Teams!$H$2*($T182-$V182)),0)</f>
        <v>#N/A</v>
      </c>
      <c r="AA182" s="158" t="e">
        <f>ROUND($S182+(Teams!$H$2*($U182-$W182)),0)</f>
        <v>#N/A</v>
      </c>
    </row>
    <row r="183" spans="2:27" ht="12.75">
      <c r="B183" s="158">
        <v>10</v>
      </c>
      <c r="C183" s="216" t="s">
        <v>271</v>
      </c>
      <c r="D183" s="171">
        <v>17</v>
      </c>
      <c r="E183" s="175">
        <v>10</v>
      </c>
      <c r="F183" s="221" t="s">
        <v>270</v>
      </c>
      <c r="G183" s="151" t="str">
        <f>INDEX(Teams!$B$5:$H$45,MATCH(Results!$C183,Teams!$B$5:$B$45,0),3)</f>
        <v>Saunders Klijde Stadium</v>
      </c>
      <c r="H183" s="151" t="str">
        <f>INDEX(Teams!$B$5:$H$45,MATCH(Results!$C183,Teams!$B$5:$B$45,0),5)</f>
        <v>Big Eight</v>
      </c>
      <c r="I183" s="152" t="str">
        <f>INDEX(Teams!$B$5:$H$45,MATCH(Results!$C183,Teams!$B$5:$B$45,0),6)</f>
        <v>WAA</v>
      </c>
      <c r="J183" s="152" t="str">
        <f>INDEX(Teams!$B$5:$H$45,MATCH(Results!$F183,Teams!$B$5:$B$45,0),6)</f>
        <v>BUGN</v>
      </c>
      <c r="K183" s="69" t="str">
        <f t="shared" si="22"/>
        <v>WAABUGN</v>
      </c>
      <c r="L183" s="68" t="str">
        <f t="shared" si="23"/>
        <v>WAA</v>
      </c>
      <c r="M183" s="68">
        <f t="shared" si="24"/>
        <v>1</v>
      </c>
      <c r="N183" s="68">
        <f t="shared" si="25"/>
        <v>7</v>
      </c>
      <c r="O183" s="68" t="str">
        <f t="shared" si="26"/>
        <v>Home</v>
      </c>
      <c r="P183" s="68" t="str">
        <f t="shared" si="27"/>
        <v>WAA10</v>
      </c>
      <c r="Q183" s="68" t="str">
        <f t="shared" si="28"/>
        <v>BUGN10</v>
      </c>
      <c r="R183" s="68" t="e">
        <f>INDEX(RankPoints!$B$4:$AK$19,$B183+1,MATCH(Results!$I183,RankPoints!$B$4:$AK$4,0))</f>
        <v>#N/A</v>
      </c>
      <c r="S183" s="68">
        <f>INDEX(RankPoints!$B$4:$AK$19,$B183+1,MATCH(Results!$J183,RankPoints!$B$4:$AK$4,0))</f>
        <v>1516</v>
      </c>
      <c r="T183" s="68">
        <f t="shared" si="29"/>
        <v>1</v>
      </c>
      <c r="U183" s="155">
        <f t="shared" si="30"/>
        <v>0</v>
      </c>
      <c r="V183" s="156" t="e">
        <f>1/(1+(10^($X183/'[1]Teams'!$F$3)))</f>
        <v>#N/A</v>
      </c>
      <c r="W183" s="157" t="e">
        <f>1/(1+(10^($Y183/'[1]Teams'!$F$3)))</f>
        <v>#N/A</v>
      </c>
      <c r="X183" s="68" t="e">
        <f t="shared" si="31"/>
        <v>#N/A</v>
      </c>
      <c r="Y183" s="155" t="e">
        <f t="shared" si="32"/>
        <v>#N/A</v>
      </c>
      <c r="Z183" s="68" t="e">
        <f>ROUND($R183+(Teams!$H$2*($T183-$V183)),0)</f>
        <v>#N/A</v>
      </c>
      <c r="AA183" s="158" t="e">
        <f>ROUND($S183+(Teams!$H$2*($U183-$W183)),0)</f>
        <v>#N/A</v>
      </c>
    </row>
    <row r="184" spans="2:27" ht="12.75">
      <c r="B184" s="158">
        <v>10</v>
      </c>
      <c r="C184" s="216" t="s">
        <v>144</v>
      </c>
      <c r="D184" s="171">
        <v>47</v>
      </c>
      <c r="E184" s="175">
        <v>16</v>
      </c>
      <c r="F184" s="221" t="s">
        <v>148</v>
      </c>
      <c r="G184" s="151" t="str">
        <f>INDEX(Teams!$B$5:$H$45,MATCH(Results!$C184,Teams!$B$5:$B$45,0),3)</f>
        <v>Cradence Stadium</v>
      </c>
      <c r="H184" s="151" t="str">
        <f>INDEX(Teams!$B$5:$H$45,MATCH(Results!$C184,Teams!$B$5:$B$45,0),5)</f>
        <v>Big Eight</v>
      </c>
      <c r="I184" s="152" t="str">
        <f>INDEX(Teams!$B$5:$H$45,MATCH(Results!$C184,Teams!$B$5:$B$45,0),6)</f>
        <v>ARLN</v>
      </c>
      <c r="J184" s="152" t="str">
        <f>INDEX(Teams!$B$5:$H$45,MATCH(Results!$F184,Teams!$B$5:$B$45,0),6)</f>
        <v>RELK</v>
      </c>
      <c r="K184" s="69" t="str">
        <f t="shared" si="22"/>
        <v>ARLNRELK</v>
      </c>
      <c r="L184" s="68" t="str">
        <f t="shared" si="23"/>
        <v>ARLN</v>
      </c>
      <c r="M184" s="68">
        <f t="shared" si="24"/>
        <v>1</v>
      </c>
      <c r="N184" s="68">
        <f t="shared" si="25"/>
        <v>31</v>
      </c>
      <c r="O184" s="68" t="str">
        <f t="shared" si="26"/>
        <v>Home</v>
      </c>
      <c r="P184" s="68" t="str">
        <f t="shared" si="27"/>
        <v>ARLN10</v>
      </c>
      <c r="Q184" s="68" t="str">
        <f t="shared" si="28"/>
        <v>RELK10</v>
      </c>
      <c r="R184" s="68" t="e">
        <f>INDEX(RankPoints!$B$4:$AK$19,$B184+1,MATCH(Results!$I184,RankPoints!$B$4:$AK$4,0))</f>
        <v>#N/A</v>
      </c>
      <c r="S184" s="68" t="e">
        <f>INDEX(RankPoints!$B$4:$AK$19,$B184+1,MATCH(Results!$J184,RankPoints!$B$4:$AK$4,0))</f>
        <v>#N/A</v>
      </c>
      <c r="T184" s="68">
        <f t="shared" si="29"/>
        <v>1</v>
      </c>
      <c r="U184" s="155">
        <f t="shared" si="30"/>
        <v>0</v>
      </c>
      <c r="V184" s="156" t="e">
        <f>1/(1+(10^($X184/'[1]Teams'!$F$3)))</f>
        <v>#N/A</v>
      </c>
      <c r="W184" s="157" t="e">
        <f>1/(1+(10^($Y184/'[1]Teams'!$F$3)))</f>
        <v>#N/A</v>
      </c>
      <c r="X184" s="68" t="e">
        <f t="shared" si="31"/>
        <v>#N/A</v>
      </c>
      <c r="Y184" s="155" t="e">
        <f t="shared" si="32"/>
        <v>#N/A</v>
      </c>
      <c r="Z184" s="68" t="e">
        <f>ROUND($R184+(Teams!$H$2*($T184-$V184)),0)</f>
        <v>#N/A</v>
      </c>
      <c r="AA184" s="158" t="e">
        <f>ROUND($S184+(Teams!$H$2*($U184-$W184)),0)</f>
        <v>#N/A</v>
      </c>
    </row>
    <row r="185" spans="2:27" ht="12.75">
      <c r="B185" s="158">
        <v>10</v>
      </c>
      <c r="C185" s="216" t="s">
        <v>154</v>
      </c>
      <c r="D185" s="171">
        <v>0</v>
      </c>
      <c r="E185" s="175">
        <v>13</v>
      </c>
      <c r="F185" s="221" t="s">
        <v>77</v>
      </c>
      <c r="G185" s="151" t="str">
        <f>INDEX(Teams!$B$5:$H$45,MATCH(Results!$C185,Teams!$B$5:$B$45,0),3)</f>
        <v>Nobel Stadium</v>
      </c>
      <c r="H185" s="151" t="str">
        <f>INDEX(Teams!$B$5:$H$45,MATCH(Results!$C185,Teams!$B$5:$B$45,0),5)</f>
        <v>Big Eight</v>
      </c>
      <c r="I185" s="152" t="str">
        <f>INDEX(Teams!$B$5:$H$45,MATCH(Results!$C185,Teams!$B$5:$B$45,0),6)</f>
        <v>NOBL</v>
      </c>
      <c r="J185" s="152" t="str">
        <f>INDEX(Teams!$B$5:$H$45,MATCH(Results!$F185,Teams!$B$5:$B$45,0),6)</f>
        <v>SAUG</v>
      </c>
      <c r="K185" s="69" t="str">
        <f t="shared" si="22"/>
        <v>NOBLSAUG</v>
      </c>
      <c r="L185" s="68" t="str">
        <f t="shared" si="23"/>
        <v>SAUG</v>
      </c>
      <c r="M185" s="68">
        <f t="shared" si="24"/>
        <v>1</v>
      </c>
      <c r="N185" s="68">
        <f t="shared" si="25"/>
        <v>13</v>
      </c>
      <c r="O185" s="68" t="str">
        <f t="shared" si="26"/>
        <v>Away</v>
      </c>
      <c r="P185" s="68" t="str">
        <f t="shared" si="27"/>
        <v>NOBL10</v>
      </c>
      <c r="Q185" s="68" t="str">
        <f t="shared" si="28"/>
        <v>SAUG10</v>
      </c>
      <c r="R185" s="68" t="e">
        <f>INDEX(RankPoints!$B$4:$AK$19,$B185+1,MATCH(Results!$I185,RankPoints!$B$4:$AK$4,0))</f>
        <v>#N/A</v>
      </c>
      <c r="S185" s="68">
        <f>INDEX(RankPoints!$B$4:$AK$19,$B185+1,MATCH(Results!$J185,RankPoints!$B$4:$AK$4,0))</f>
        <v>0</v>
      </c>
      <c r="T185" s="68">
        <f t="shared" si="29"/>
        <v>0</v>
      </c>
      <c r="U185" s="155">
        <f t="shared" si="30"/>
        <v>1</v>
      </c>
      <c r="V185" s="156" t="e">
        <f>1/(1+(10^($X185/'[1]Teams'!$F$3)))</f>
        <v>#N/A</v>
      </c>
      <c r="W185" s="157" t="e">
        <f>1/(1+(10^($Y185/'[1]Teams'!$F$3)))</f>
        <v>#N/A</v>
      </c>
      <c r="X185" s="68" t="e">
        <f t="shared" si="31"/>
        <v>#N/A</v>
      </c>
      <c r="Y185" s="155" t="e">
        <f t="shared" si="32"/>
        <v>#N/A</v>
      </c>
      <c r="Z185" s="68" t="e">
        <f>ROUND($R185+(Teams!$H$2*($T185-$V185)),0)</f>
        <v>#N/A</v>
      </c>
      <c r="AA185" s="158" t="e">
        <f>ROUND($S185+(Teams!$H$2*($U185-$W185)),0)</f>
        <v>#N/A</v>
      </c>
    </row>
    <row r="186" spans="2:27" ht="12.75">
      <c r="B186" s="158">
        <v>10</v>
      </c>
      <c r="C186" s="216" t="s">
        <v>124</v>
      </c>
      <c r="D186" s="171">
        <v>3</v>
      </c>
      <c r="E186" s="175">
        <v>34</v>
      </c>
      <c r="F186" s="221" t="s">
        <v>76</v>
      </c>
      <c r="G186" s="151" t="str">
        <f>INDEX(Teams!$B$5:$H$45,MATCH(Results!$C186,Teams!$B$5:$B$45,0),3)</f>
        <v>Bear Stadium</v>
      </c>
      <c r="H186" s="151" t="str">
        <f>INDEX(Teams!$B$5:$H$45,MATCH(Results!$C186,Teams!$B$5:$B$45,0),5)</f>
        <v>Big Eight</v>
      </c>
      <c r="I186" s="152" t="str">
        <f>INDEX(Teams!$B$5:$H$45,MATCH(Results!$C186,Teams!$B$5:$B$45,0),6)</f>
        <v>TIMC</v>
      </c>
      <c r="J186" s="152" t="str">
        <f>INDEX(Teams!$B$5:$H$45,MATCH(Results!$F186,Teams!$B$5:$B$45,0),6)</f>
        <v>SCTT</v>
      </c>
      <c r="K186" s="69" t="str">
        <f t="shared" si="22"/>
        <v>TIMCSCTT</v>
      </c>
      <c r="L186" s="68" t="str">
        <f t="shared" si="23"/>
        <v>SCTT</v>
      </c>
      <c r="M186" s="68">
        <f t="shared" si="24"/>
        <v>1</v>
      </c>
      <c r="N186" s="68">
        <f t="shared" si="25"/>
        <v>31</v>
      </c>
      <c r="O186" s="68" t="str">
        <f t="shared" si="26"/>
        <v>Away</v>
      </c>
      <c r="P186" s="68" t="str">
        <f t="shared" si="27"/>
        <v>TIMC10</v>
      </c>
      <c r="Q186" s="68" t="str">
        <f t="shared" si="28"/>
        <v>SCTT10</v>
      </c>
      <c r="R186" s="68" t="e">
        <f>INDEX(RankPoints!$B$4:$AK$19,$B186+1,MATCH(Results!$I186,RankPoints!$B$4:$AK$4,0))</f>
        <v>#N/A</v>
      </c>
      <c r="S186" s="68">
        <f>INDEX(RankPoints!$B$4:$AK$19,$B186+1,MATCH(Results!$J186,RankPoints!$B$4:$AK$4,0))</f>
        <v>1651</v>
      </c>
      <c r="T186" s="68">
        <f t="shared" si="29"/>
        <v>0</v>
      </c>
      <c r="U186" s="155">
        <f t="shared" si="30"/>
        <v>1</v>
      </c>
      <c r="V186" s="156" t="e">
        <f>1/(1+(10^($X186/'[1]Teams'!$F$3)))</f>
        <v>#N/A</v>
      </c>
      <c r="W186" s="157" t="e">
        <f>1/(1+(10^($Y186/'[1]Teams'!$F$3)))</f>
        <v>#N/A</v>
      </c>
      <c r="X186" s="68" t="e">
        <f t="shared" si="31"/>
        <v>#N/A</v>
      </c>
      <c r="Y186" s="155" t="e">
        <f t="shared" si="32"/>
        <v>#N/A</v>
      </c>
      <c r="Z186" s="68" t="e">
        <f>ROUND($R186+(Teams!$H$2*($T186-$V186)),0)</f>
        <v>#N/A</v>
      </c>
      <c r="AA186" s="158" t="e">
        <f>ROUND($S186+(Teams!$H$2*($U186-$W186)),0)</f>
        <v>#N/A</v>
      </c>
    </row>
    <row r="187" spans="2:27" ht="12.75">
      <c r="B187" s="158">
        <v>10</v>
      </c>
      <c r="C187" s="216" t="s">
        <v>248</v>
      </c>
      <c r="D187" s="171">
        <v>13</v>
      </c>
      <c r="E187" s="175">
        <v>22</v>
      </c>
      <c r="F187" s="221" t="s">
        <v>20</v>
      </c>
      <c r="G187" s="151" t="str">
        <f>INDEX(Teams!$B$5:$H$45,MATCH(Results!$C187,Teams!$B$5:$B$45,0),3)</f>
        <v>Dorrel Stadium</v>
      </c>
      <c r="H187" s="151" t="str">
        <f>INDEX(Teams!$B$5:$H$45,MATCH(Results!$C187,Teams!$B$5:$B$45,0),5)</f>
        <v>Horizon</v>
      </c>
      <c r="I187" s="152" t="str">
        <f>INDEX(Teams!$B$5:$H$45,MATCH(Results!$C187,Teams!$B$5:$B$45,0),6)</f>
        <v>COLD</v>
      </c>
      <c r="J187" s="152" t="str">
        <f>INDEX(Teams!$B$5:$H$45,MATCH(Results!$F187,Teams!$B$5:$B$45,0),6)</f>
        <v>RCU</v>
      </c>
      <c r="K187" s="69" t="str">
        <f t="shared" si="22"/>
        <v>COLDRCU</v>
      </c>
      <c r="L187" s="68" t="str">
        <f t="shared" si="23"/>
        <v>RCU</v>
      </c>
      <c r="M187" s="68">
        <f t="shared" si="24"/>
        <v>1</v>
      </c>
      <c r="N187" s="68">
        <f t="shared" si="25"/>
        <v>9</v>
      </c>
      <c r="O187" s="68" t="str">
        <f t="shared" si="26"/>
        <v>Away</v>
      </c>
      <c r="P187" s="68" t="str">
        <f t="shared" si="27"/>
        <v>COLD10</v>
      </c>
      <c r="Q187" s="68" t="str">
        <f t="shared" si="28"/>
        <v>RCU10</v>
      </c>
      <c r="R187" s="68">
        <f>INDEX(RankPoints!$B$4:$AK$19,$B187+1,MATCH(Results!$I187,RankPoints!$B$4:$AK$4,0))</f>
        <v>-1255</v>
      </c>
      <c r="S187" s="68">
        <f>INDEX(RankPoints!$B$4:$AK$19,$B187+1,MATCH(Results!$J187,RankPoints!$B$4:$AK$4,0))</f>
        <v>1380</v>
      </c>
      <c r="T187" s="68">
        <f t="shared" si="29"/>
        <v>0</v>
      </c>
      <c r="U187" s="155">
        <f t="shared" si="30"/>
        <v>1</v>
      </c>
      <c r="V187" s="156">
        <f>1/(1+(10^($X187/'[1]Teams'!$F$3)))</f>
        <v>0.9999997414765829</v>
      </c>
      <c r="W187" s="157">
        <f>1/(1+(10^($Y187/'[1]Teams'!$F$3)))</f>
        <v>2.5852341712184386E-07</v>
      </c>
      <c r="X187" s="68">
        <f t="shared" si="31"/>
        <v>-2635</v>
      </c>
      <c r="Y187" s="155">
        <f t="shared" si="32"/>
        <v>2635</v>
      </c>
      <c r="Z187" s="68">
        <f>ROUND($R187+(Teams!$H$2*($T187-$V187)),0)</f>
        <v>-1287</v>
      </c>
      <c r="AA187" s="158">
        <f>ROUND($S187+(Teams!$H$2*($U187-$W187)),0)</f>
        <v>1412</v>
      </c>
    </row>
    <row r="188" spans="2:27" ht="12.75">
      <c r="B188" s="158">
        <v>10</v>
      </c>
      <c r="C188" s="216" t="s">
        <v>145</v>
      </c>
      <c r="D188" s="171">
        <v>20</v>
      </c>
      <c r="E188" s="175">
        <v>10</v>
      </c>
      <c r="F188" s="221" t="s">
        <v>153</v>
      </c>
      <c r="G188" s="151" t="str">
        <f>INDEX(Teams!$B$5:$H$45,MATCH(Results!$C188,Teams!$B$5:$B$45,0),3)</f>
        <v>Indana Municipal Field</v>
      </c>
      <c r="H188" s="151" t="str">
        <f>INDEX(Teams!$B$5:$H$45,MATCH(Results!$C188,Teams!$B$5:$B$45,0),5)</f>
        <v>Horizon</v>
      </c>
      <c r="I188" s="152" t="str">
        <f>INDEX(Teams!$B$5:$H$45,MATCH(Results!$C188,Teams!$B$5:$B$45,0),6)</f>
        <v>INDN</v>
      </c>
      <c r="J188" s="152" t="str">
        <f>INDEX(Teams!$B$5:$H$45,MATCH(Results!$F188,Teams!$B$5:$B$45,0),6)</f>
        <v>RSTU</v>
      </c>
      <c r="K188" s="69" t="str">
        <f t="shared" si="22"/>
        <v>INDNRSTU</v>
      </c>
      <c r="L188" s="68" t="str">
        <f t="shared" si="23"/>
        <v>INDN</v>
      </c>
      <c r="M188" s="68">
        <f t="shared" si="24"/>
        <v>1</v>
      </c>
      <c r="N188" s="68">
        <f t="shared" si="25"/>
        <v>10</v>
      </c>
      <c r="O188" s="68" t="str">
        <f t="shared" si="26"/>
        <v>Home</v>
      </c>
      <c r="P188" s="68" t="str">
        <f t="shared" si="27"/>
        <v>INDN10</v>
      </c>
      <c r="Q188" s="68" t="str">
        <f t="shared" si="28"/>
        <v>RSTU10</v>
      </c>
      <c r="R188" s="68" t="e">
        <f>INDEX(RankPoints!$B$4:$AK$19,$B188+1,MATCH(Results!$I188,RankPoints!$B$4:$AK$4,0))</f>
        <v>#N/A</v>
      </c>
      <c r="S188" s="68" t="e">
        <f>INDEX(RankPoints!$B$4:$AK$19,$B188+1,MATCH(Results!$J188,RankPoints!$B$4:$AK$4,0))</f>
        <v>#N/A</v>
      </c>
      <c r="T188" s="68">
        <f t="shared" si="29"/>
        <v>1</v>
      </c>
      <c r="U188" s="155">
        <f t="shared" si="30"/>
        <v>0</v>
      </c>
      <c r="V188" s="156" t="e">
        <f>1/(1+(10^($X188/'[1]Teams'!$F$3)))</f>
        <v>#N/A</v>
      </c>
      <c r="W188" s="157" t="e">
        <f>1/(1+(10^($Y188/'[1]Teams'!$F$3)))</f>
        <v>#N/A</v>
      </c>
      <c r="X188" s="68" t="e">
        <f t="shared" si="31"/>
        <v>#N/A</v>
      </c>
      <c r="Y188" s="155" t="e">
        <f t="shared" si="32"/>
        <v>#N/A</v>
      </c>
      <c r="Z188" s="68" t="e">
        <f>ROUND($R188+(Teams!$H$2*($T188-$V188)),0)</f>
        <v>#N/A</v>
      </c>
      <c r="AA188" s="158" t="e">
        <f>ROUND($S188+(Teams!$H$2*($U188-$W188)),0)</f>
        <v>#N/A</v>
      </c>
    </row>
    <row r="189" spans="2:27" ht="12.75">
      <c r="B189" s="158">
        <v>10</v>
      </c>
      <c r="C189" s="216" t="s">
        <v>157</v>
      </c>
      <c r="D189" s="171">
        <v>14</v>
      </c>
      <c r="E189" s="175">
        <v>10</v>
      </c>
      <c r="F189" s="221" t="s">
        <v>21</v>
      </c>
      <c r="G189" s="151" t="str">
        <f>INDEX(Teams!$B$5:$H$45,MATCH(Results!$C189,Teams!$B$5:$B$45,0),3)</f>
        <v>Badger Stadium</v>
      </c>
      <c r="H189" s="151" t="str">
        <f>INDEX(Teams!$B$5:$H$45,MATCH(Results!$C189,Teams!$B$5:$B$45,0),5)</f>
        <v>Horizon</v>
      </c>
      <c r="I189" s="152" t="str">
        <f>INDEX(Teams!$B$5:$H$45,MATCH(Results!$C189,Teams!$B$5:$B$45,0),6)</f>
        <v>WIEN</v>
      </c>
      <c r="J189" s="152" t="str">
        <f>INDEX(Teams!$B$5:$H$45,MATCH(Results!$F189,Teams!$B$5:$B$45,0),6)</f>
        <v>STON</v>
      </c>
      <c r="K189" s="69" t="str">
        <f t="shared" si="22"/>
        <v>WIENSTON</v>
      </c>
      <c r="L189" s="68" t="str">
        <f t="shared" si="23"/>
        <v>WIEN</v>
      </c>
      <c r="M189" s="68">
        <f t="shared" si="24"/>
        <v>1</v>
      </c>
      <c r="N189" s="68">
        <f t="shared" si="25"/>
        <v>4</v>
      </c>
      <c r="O189" s="68" t="str">
        <f t="shared" si="26"/>
        <v>Home</v>
      </c>
      <c r="P189" s="68" t="str">
        <f t="shared" si="27"/>
        <v>WIEN10</v>
      </c>
      <c r="Q189" s="68" t="str">
        <f t="shared" si="28"/>
        <v>STON10</v>
      </c>
      <c r="R189" s="68" t="e">
        <f>INDEX(RankPoints!$B$4:$AK$19,$B189+1,MATCH(Results!$I189,RankPoints!$B$4:$AK$4,0))</f>
        <v>#N/A</v>
      </c>
      <c r="S189" s="68">
        <f>INDEX(RankPoints!$B$4:$AK$19,$B189+1,MATCH(Results!$J189,RankPoints!$B$4:$AK$4,0))</f>
        <v>2850</v>
      </c>
      <c r="T189" s="68">
        <f t="shared" si="29"/>
        <v>1</v>
      </c>
      <c r="U189" s="155">
        <f t="shared" si="30"/>
        <v>0</v>
      </c>
      <c r="V189" s="156" t="e">
        <f>1/(1+(10^($X189/'[1]Teams'!$F$3)))</f>
        <v>#N/A</v>
      </c>
      <c r="W189" s="157" t="e">
        <f>1/(1+(10^($Y189/'[1]Teams'!$F$3)))</f>
        <v>#N/A</v>
      </c>
      <c r="X189" s="68" t="e">
        <f t="shared" si="31"/>
        <v>#N/A</v>
      </c>
      <c r="Y189" s="155" t="e">
        <f t="shared" si="32"/>
        <v>#N/A</v>
      </c>
      <c r="Z189" s="68" t="e">
        <f>ROUND($R189+(Teams!$H$2*($T189-$V189)),0)</f>
        <v>#N/A</v>
      </c>
      <c r="AA189" s="158" t="e">
        <f>ROUND($S189+(Teams!$H$2*($U189-$W189)),0)</f>
        <v>#N/A</v>
      </c>
    </row>
    <row r="190" spans="2:27" ht="12.75">
      <c r="B190" s="158">
        <v>10</v>
      </c>
      <c r="C190" s="216" t="s">
        <v>149</v>
      </c>
      <c r="D190" s="171">
        <v>37</v>
      </c>
      <c r="E190" s="175">
        <v>10</v>
      </c>
      <c r="F190" s="221" t="s">
        <v>151</v>
      </c>
      <c r="G190" s="151" t="str">
        <f>INDEX(Teams!$B$5:$H$45,MATCH(Results!$C190,Teams!$B$5:$B$45,0),3)</f>
        <v>The Field of Industry</v>
      </c>
      <c r="H190" s="151" t="str">
        <f>INDEX(Teams!$B$5:$H$45,MATCH(Results!$C190,Teams!$B$5:$B$45,0),5)</f>
        <v>Horizon</v>
      </c>
      <c r="I190" s="152" t="str">
        <f>INDEX(Teams!$B$5:$H$45,MATCH(Results!$C190,Teams!$B$5:$B$45,0),6)</f>
        <v>USPN</v>
      </c>
      <c r="J190" s="152" t="str">
        <f>INDEX(Teams!$B$5:$H$45,MATCH(Results!$F190,Teams!$B$5:$B$45,0),6)</f>
        <v>OLYM</v>
      </c>
      <c r="K190" s="69" t="str">
        <f t="shared" si="22"/>
        <v>USPNOLYM</v>
      </c>
      <c r="L190" s="68" t="str">
        <f t="shared" si="23"/>
        <v>USPN</v>
      </c>
      <c r="M190" s="68">
        <f t="shared" si="24"/>
        <v>1</v>
      </c>
      <c r="N190" s="68">
        <f t="shared" si="25"/>
        <v>27</v>
      </c>
      <c r="O190" s="68" t="str">
        <f t="shared" si="26"/>
        <v>Home</v>
      </c>
      <c r="P190" s="68" t="str">
        <f t="shared" si="27"/>
        <v>USPN10</v>
      </c>
      <c r="Q190" s="68" t="str">
        <f t="shared" si="28"/>
        <v>OLYM10</v>
      </c>
      <c r="R190" s="68" t="e">
        <f>INDEX(RankPoints!$B$4:$AK$19,$B190+1,MATCH(Results!$I190,RankPoints!$B$4:$AK$4,0))</f>
        <v>#N/A</v>
      </c>
      <c r="S190" s="68" t="e">
        <f>INDEX(RankPoints!$B$4:$AK$19,$B190+1,MATCH(Results!$J190,RankPoints!$B$4:$AK$4,0))</f>
        <v>#N/A</v>
      </c>
      <c r="T190" s="68">
        <f t="shared" si="29"/>
        <v>1</v>
      </c>
      <c r="U190" s="155">
        <f t="shared" si="30"/>
        <v>0</v>
      </c>
      <c r="V190" s="156" t="e">
        <f>1/(1+(10^($X190/'[1]Teams'!$F$3)))</f>
        <v>#N/A</v>
      </c>
      <c r="W190" s="157" t="e">
        <f>1/(1+(10^($Y190/'[1]Teams'!$F$3)))</f>
        <v>#N/A</v>
      </c>
      <c r="X190" s="68" t="e">
        <f t="shared" si="31"/>
        <v>#N/A</v>
      </c>
      <c r="Y190" s="155" t="e">
        <f t="shared" si="32"/>
        <v>#N/A</v>
      </c>
      <c r="Z190" s="68" t="e">
        <f>ROUND($R190+(Teams!$H$2*($T190-$V190)),0)</f>
        <v>#N/A</v>
      </c>
      <c r="AA190" s="158" t="e">
        <f>ROUND($S190+(Teams!$H$2*($U190-$W190)),0)</f>
        <v>#N/A</v>
      </c>
    </row>
    <row r="191" spans="2:27" ht="12.75">
      <c r="B191" s="158">
        <v>10</v>
      </c>
      <c r="C191" s="216" t="s">
        <v>121</v>
      </c>
      <c r="D191" s="171">
        <v>29</v>
      </c>
      <c r="E191" s="175">
        <v>21</v>
      </c>
      <c r="F191" s="221" t="s">
        <v>155</v>
      </c>
      <c r="G191" s="151" t="str">
        <f>INDEX(Teams!$B$5:$H$45,MATCH(Results!$C191,Teams!$B$5:$B$45,0),3)</f>
        <v>P. K. Morgan &amp; Sons Field</v>
      </c>
      <c r="H191" s="151" t="str">
        <f>INDEX(Teams!$B$5:$H$45,MATCH(Results!$C191,Teams!$B$5:$B$45,0),5)</f>
        <v>Mineral</v>
      </c>
      <c r="I191" s="152" t="str">
        <f>INDEX(Teams!$B$5:$H$45,MATCH(Results!$C191,Teams!$B$5:$B$45,0),6)</f>
        <v>CRGA</v>
      </c>
      <c r="J191" s="152" t="str">
        <f>INDEX(Teams!$B$5:$H$45,MATCH(Results!$F191,Teams!$B$5:$B$45,0),6)</f>
        <v>EKIL</v>
      </c>
      <c r="K191" s="69" t="str">
        <f t="shared" si="22"/>
        <v>CRGAEKIL</v>
      </c>
      <c r="L191" s="68" t="str">
        <f t="shared" si="23"/>
        <v>CRGA</v>
      </c>
      <c r="M191" s="68">
        <f t="shared" si="24"/>
        <v>1</v>
      </c>
      <c r="N191" s="68">
        <f t="shared" si="25"/>
        <v>8</v>
      </c>
      <c r="O191" s="68" t="str">
        <f t="shared" si="26"/>
        <v>Home</v>
      </c>
      <c r="P191" s="68" t="str">
        <f t="shared" si="27"/>
        <v>CRGA10</v>
      </c>
      <c r="Q191" s="68" t="str">
        <f t="shared" si="28"/>
        <v>EKIL10</v>
      </c>
      <c r="R191" s="68" t="e">
        <f>INDEX(RankPoints!$B$4:$AK$19,$B191+1,MATCH(Results!$I191,RankPoints!$B$4:$AK$4,0))</f>
        <v>#N/A</v>
      </c>
      <c r="S191" s="68" t="e">
        <f>INDEX(RankPoints!$B$4:$AK$19,$B191+1,MATCH(Results!$J191,RankPoints!$B$4:$AK$4,0))</f>
        <v>#N/A</v>
      </c>
      <c r="T191" s="68">
        <f t="shared" si="29"/>
        <v>1</v>
      </c>
      <c r="U191" s="155">
        <f t="shared" si="30"/>
        <v>0</v>
      </c>
      <c r="V191" s="156" t="e">
        <f>1/(1+(10^($X191/'[1]Teams'!$F$3)))</f>
        <v>#N/A</v>
      </c>
      <c r="W191" s="157" t="e">
        <f>1/(1+(10^($Y191/'[1]Teams'!$F$3)))</f>
        <v>#N/A</v>
      </c>
      <c r="X191" s="68" t="e">
        <f t="shared" si="31"/>
        <v>#N/A</v>
      </c>
      <c r="Y191" s="155" t="e">
        <f t="shared" si="32"/>
        <v>#N/A</v>
      </c>
      <c r="Z191" s="68" t="e">
        <f>ROUND($R191+(Teams!$H$2*($T191-$V191)),0)</f>
        <v>#N/A</v>
      </c>
      <c r="AA191" s="158" t="e">
        <f>ROUND($S191+(Teams!$H$2*($U191-$W191)),0)</f>
        <v>#N/A</v>
      </c>
    </row>
    <row r="192" spans="2:27" ht="12.75">
      <c r="B192" s="158">
        <v>10</v>
      </c>
      <c r="C192" s="216" t="s">
        <v>156</v>
      </c>
      <c r="D192" s="171">
        <v>6</v>
      </c>
      <c r="E192" s="175">
        <v>24</v>
      </c>
      <c r="F192" s="221" t="s">
        <v>150</v>
      </c>
      <c r="G192" s="151" t="str">
        <f>INDEX(Teams!$B$5:$H$45,MATCH(Results!$C192,Teams!$B$5:$B$45,0),3)</f>
        <v>Luis Cod Memorial Stadium</v>
      </c>
      <c r="H192" s="151" t="str">
        <f>INDEX(Teams!$B$5:$H$45,MATCH(Results!$C192,Teams!$B$5:$B$45,0),5)</f>
        <v>Mineral</v>
      </c>
      <c r="I192" s="152" t="str">
        <f>INDEX(Teams!$B$5:$H$45,MATCH(Results!$C192,Teams!$B$5:$B$45,0),6)</f>
        <v>BLUE</v>
      </c>
      <c r="J192" s="152" t="str">
        <f>INDEX(Teams!$B$5:$H$45,MATCH(Results!$F192,Teams!$B$5:$B$45,0),6)</f>
        <v>RICH</v>
      </c>
      <c r="K192" s="69" t="str">
        <f t="shared" si="22"/>
        <v>BLUERICH</v>
      </c>
      <c r="L192" s="68" t="str">
        <f t="shared" si="23"/>
        <v>RICH</v>
      </c>
      <c r="M192" s="68">
        <f t="shared" si="24"/>
        <v>1</v>
      </c>
      <c r="N192" s="68">
        <f t="shared" si="25"/>
        <v>18</v>
      </c>
      <c r="O192" s="68" t="str">
        <f t="shared" si="26"/>
        <v>Away</v>
      </c>
      <c r="P192" s="68" t="str">
        <f t="shared" si="27"/>
        <v>BLUE10</v>
      </c>
      <c r="Q192" s="68" t="str">
        <f t="shared" si="28"/>
        <v>RICH10</v>
      </c>
      <c r="R192" s="68" t="e">
        <f>INDEX(RankPoints!$B$4:$AK$19,$B192+1,MATCH(Results!$I192,RankPoints!$B$4:$AK$4,0))</f>
        <v>#N/A</v>
      </c>
      <c r="S192" s="68" t="e">
        <f>INDEX(RankPoints!$B$4:$AK$19,$B192+1,MATCH(Results!$J192,RankPoints!$B$4:$AK$4,0))</f>
        <v>#N/A</v>
      </c>
      <c r="T192" s="68">
        <f t="shared" si="29"/>
        <v>0</v>
      </c>
      <c r="U192" s="155">
        <f t="shared" si="30"/>
        <v>1</v>
      </c>
      <c r="V192" s="156" t="e">
        <f>1/(1+(10^($X192/'[1]Teams'!$F$3)))</f>
        <v>#N/A</v>
      </c>
      <c r="W192" s="157" t="e">
        <f>1/(1+(10^($Y192/'[1]Teams'!$F$3)))</f>
        <v>#N/A</v>
      </c>
      <c r="X192" s="68" t="e">
        <f t="shared" si="31"/>
        <v>#N/A</v>
      </c>
      <c r="Y192" s="155" t="e">
        <f t="shared" si="32"/>
        <v>#N/A</v>
      </c>
      <c r="Z192" s="68" t="e">
        <f>ROUND($R192+(Teams!$H$2*($T192-$V192)),0)</f>
        <v>#N/A</v>
      </c>
      <c r="AA192" s="158" t="e">
        <f>ROUND($S192+(Teams!$H$2*($U192-$W192)),0)</f>
        <v>#N/A</v>
      </c>
    </row>
    <row r="193" spans="2:27" ht="12.75">
      <c r="B193" s="158">
        <v>10</v>
      </c>
      <c r="C193" s="216" t="s">
        <v>80</v>
      </c>
      <c r="D193" s="171">
        <v>13</v>
      </c>
      <c r="E193" s="175">
        <v>23</v>
      </c>
      <c r="F193" s="221" t="s">
        <v>266</v>
      </c>
      <c r="G193" s="151" t="str">
        <f>INDEX(Teams!$B$5:$H$45,MATCH(Results!$C193,Teams!$B$5:$B$45,0),3)</f>
        <v>Orange Bowl</v>
      </c>
      <c r="H193" s="151" t="str">
        <f>INDEX(Teams!$B$5:$H$45,MATCH(Results!$C193,Teams!$B$5:$B$45,0),5)</f>
        <v>Mineral</v>
      </c>
      <c r="I193" s="152" t="str">
        <f>INDEX(Teams!$B$5:$H$45,MATCH(Results!$C193,Teams!$B$5:$B$45,0),6)</f>
        <v>OCSU</v>
      </c>
      <c r="J193" s="152" t="str">
        <f>INDEX(Teams!$B$5:$H$45,MATCH(Results!$F193,Teams!$B$5:$B$45,0),6)</f>
        <v>UPSL</v>
      </c>
      <c r="K193" s="69" t="str">
        <f t="shared" si="22"/>
        <v>OCSUUPSL</v>
      </c>
      <c r="L193" s="68" t="str">
        <f t="shared" si="23"/>
        <v>UPSL</v>
      </c>
      <c r="M193" s="68">
        <f t="shared" si="24"/>
        <v>1</v>
      </c>
      <c r="N193" s="68">
        <f t="shared" si="25"/>
        <v>10</v>
      </c>
      <c r="O193" s="68" t="str">
        <f t="shared" si="26"/>
        <v>Away</v>
      </c>
      <c r="P193" s="68" t="str">
        <f t="shared" si="27"/>
        <v>OCSU10</v>
      </c>
      <c r="Q193" s="68" t="str">
        <f t="shared" si="28"/>
        <v>UPSL10</v>
      </c>
      <c r="R193" s="68">
        <f>INDEX(RankPoints!$B$4:$AK$19,$B193+1,MATCH(Results!$I193,RankPoints!$B$4:$AK$4,0))</f>
        <v>1516</v>
      </c>
      <c r="S193" s="68">
        <f>INDEX(RankPoints!$B$4:$AK$19,$B193+1,MATCH(Results!$J193,RankPoints!$B$4:$AK$4,0))</f>
        <v>0</v>
      </c>
      <c r="T193" s="68">
        <f t="shared" si="29"/>
        <v>0</v>
      </c>
      <c r="U193" s="155">
        <f t="shared" si="30"/>
        <v>1</v>
      </c>
      <c r="V193" s="156">
        <f>1/(1+(10^($X193/'[1]Teams'!$F$3)))</f>
        <v>0.0001621547113210773</v>
      </c>
      <c r="W193" s="157">
        <f>1/(1+(10^($Y193/'[1]Teams'!$F$3)))</f>
        <v>0.9998378452886789</v>
      </c>
      <c r="X193" s="68">
        <f t="shared" si="31"/>
        <v>1516</v>
      </c>
      <c r="Y193" s="155">
        <f t="shared" si="32"/>
        <v>-1516</v>
      </c>
      <c r="Z193" s="68">
        <f>ROUND($R193+(Teams!$H$2*($T193-$V193)),0)</f>
        <v>1516</v>
      </c>
      <c r="AA193" s="158">
        <f>ROUND($S193+(Teams!$H$2*($U193-$W193)),0)</f>
        <v>0</v>
      </c>
    </row>
    <row r="194" spans="2:27" ht="12.75">
      <c r="B194" s="158">
        <v>10</v>
      </c>
      <c r="C194" s="216" t="s">
        <v>146</v>
      </c>
      <c r="D194" s="171">
        <v>16</v>
      </c>
      <c r="E194" s="175">
        <v>23</v>
      </c>
      <c r="F194" s="221" t="s">
        <v>251</v>
      </c>
      <c r="G194" s="151" t="str">
        <f>INDEX(Teams!$B$5:$H$45,MATCH(Results!$C194,Teams!$B$5:$B$45,0),3)</f>
        <v>Bryan-Hall Stadium</v>
      </c>
      <c r="H194" s="151" t="str">
        <f>INDEX(Teams!$B$5:$H$45,MATCH(Results!$C194,Teams!$B$5:$B$45,0),5)</f>
        <v>Mineral</v>
      </c>
      <c r="I194" s="152" t="str">
        <f>INDEX(Teams!$B$5:$H$45,MATCH(Results!$C194,Teams!$B$5:$B$45,0),6)</f>
        <v>WSIT</v>
      </c>
      <c r="J194" s="152" t="str">
        <f>INDEX(Teams!$B$5:$H$45,MATCH(Results!$F194,Teams!$B$5:$B$45,0),6)</f>
        <v>HRLP</v>
      </c>
      <c r="K194" s="69" t="str">
        <f t="shared" si="22"/>
        <v>WSITHRLP</v>
      </c>
      <c r="L194" s="68" t="str">
        <f t="shared" si="23"/>
        <v>HRLP</v>
      </c>
      <c r="M194" s="68">
        <f t="shared" si="24"/>
        <v>1</v>
      </c>
      <c r="N194" s="68">
        <f t="shared" si="25"/>
        <v>7</v>
      </c>
      <c r="O194" s="68" t="str">
        <f t="shared" si="26"/>
        <v>Away</v>
      </c>
      <c r="P194" s="68" t="str">
        <f t="shared" si="27"/>
        <v>WSIT10</v>
      </c>
      <c r="Q194" s="68" t="str">
        <f t="shared" si="28"/>
        <v>HRLP10</v>
      </c>
      <c r="R194" s="68" t="e">
        <f>INDEX(RankPoints!$B$4:$AK$19,$B194+1,MATCH(Results!$I194,RankPoints!$B$4:$AK$4,0))</f>
        <v>#N/A</v>
      </c>
      <c r="S194" s="68" t="e">
        <f>INDEX(RankPoints!$B$4:$AK$19,$B194+1,MATCH(Results!$J194,RankPoints!$B$4:$AK$4,0))</f>
        <v>#N/A</v>
      </c>
      <c r="T194" s="68">
        <f t="shared" si="29"/>
        <v>0</v>
      </c>
      <c r="U194" s="155">
        <f t="shared" si="30"/>
        <v>1</v>
      </c>
      <c r="V194" s="156" t="e">
        <f>1/(1+(10^($X194/'[1]Teams'!$F$3)))</f>
        <v>#N/A</v>
      </c>
      <c r="W194" s="157" t="e">
        <f>1/(1+(10^($Y194/'[1]Teams'!$F$3)))</f>
        <v>#N/A</v>
      </c>
      <c r="X194" s="68" t="e">
        <f t="shared" si="31"/>
        <v>#N/A</v>
      </c>
      <c r="Y194" s="155" t="e">
        <f t="shared" si="32"/>
        <v>#N/A</v>
      </c>
      <c r="Z194" s="68" t="e">
        <f>ROUND($R194+(Teams!$H$2*($T194-$V194)),0)</f>
        <v>#N/A</v>
      </c>
      <c r="AA194" s="158" t="e">
        <f>ROUND($S194+(Teams!$H$2*($U194-$W194)),0)</f>
        <v>#N/A</v>
      </c>
    </row>
    <row r="195" spans="2:27" ht="12.75">
      <c r="B195" s="158">
        <v>10</v>
      </c>
      <c r="C195" s="216" t="s">
        <v>269</v>
      </c>
      <c r="D195" s="171">
        <v>16</v>
      </c>
      <c r="E195" s="175">
        <v>6</v>
      </c>
      <c r="F195" s="221" t="s">
        <v>117</v>
      </c>
      <c r="G195" s="151" t="str">
        <f>INDEX(Teams!$B$5:$H$45,MATCH(Results!$C195,Teams!$B$5:$B$45,0),3)</f>
        <v>St John's Castle</v>
      </c>
      <c r="H195" s="151" t="str">
        <f>INDEX(Teams!$B$5:$H$45,MATCH(Results!$C195,Teams!$B$5:$B$45,0),5)</f>
        <v>Sequoia</v>
      </c>
      <c r="I195" s="152" t="str">
        <f>INDEX(Teams!$B$5:$H$45,MATCH(Results!$C195,Teams!$B$5:$B$45,0),6)</f>
        <v>STJN</v>
      </c>
      <c r="J195" s="152" t="str">
        <f>INDEX(Teams!$B$5:$H$45,MATCH(Results!$F195,Teams!$B$5:$B$45,0),6)</f>
        <v>ALUT</v>
      </c>
      <c r="K195" s="69" t="str">
        <f aca="true" t="shared" si="33" ref="K195:K258">I195&amp;J195</f>
        <v>STJNALUT</v>
      </c>
      <c r="L195" s="68" t="str">
        <f aca="true" t="shared" si="34" ref="L195:L258">IF(M195=0,"",IF(D195&gt;E195,I195,J195))</f>
        <v>STJN</v>
      </c>
      <c r="M195" s="68">
        <f aca="true" t="shared" si="35" ref="M195:M258">IF(OR(D195="",E195=""),0,1)</f>
        <v>1</v>
      </c>
      <c r="N195" s="68">
        <f aca="true" t="shared" si="36" ref="N195:N258">ABS(D195-E195)</f>
        <v>10</v>
      </c>
      <c r="O195" s="68" t="str">
        <f aca="true" t="shared" si="37" ref="O195:O258">IF(L195="","",IF(L195=I195,"Home","Away"))</f>
        <v>Home</v>
      </c>
      <c r="P195" s="68" t="str">
        <f aca="true" t="shared" si="38" ref="P195:P258">$I195&amp;$B195</f>
        <v>STJN10</v>
      </c>
      <c r="Q195" s="68" t="str">
        <f aca="true" t="shared" si="39" ref="Q195:Q258">$J195&amp;$B195</f>
        <v>ALUT10</v>
      </c>
      <c r="R195" s="68">
        <f>INDEX(RankPoints!$B$4:$AK$19,$B195+1,MATCH(Results!$I195,RankPoints!$B$4:$AK$4,0))</f>
        <v>-3093</v>
      </c>
      <c r="S195" s="68" t="e">
        <f>INDEX(RankPoints!$B$4:$AK$19,$B195+1,MATCH(Results!$J195,RankPoints!$B$4:$AK$4,0))</f>
        <v>#N/A</v>
      </c>
      <c r="T195" s="68">
        <f aca="true" t="shared" si="40" ref="T195:T258">IF($O195="Home",1,0)</f>
        <v>1</v>
      </c>
      <c r="U195" s="155">
        <f aca="true" t="shared" si="41" ref="U195:U258">IF($O195="Away",1,0)</f>
        <v>0</v>
      </c>
      <c r="V195" s="156" t="e">
        <f>1/(1+(10^($X195/'[1]Teams'!$F$3)))</f>
        <v>#N/A</v>
      </c>
      <c r="W195" s="157" t="e">
        <f>1/(1+(10^($Y195/'[1]Teams'!$F$3)))</f>
        <v>#N/A</v>
      </c>
      <c r="X195" s="68" t="e">
        <f aca="true" t="shared" si="42" ref="X195:X258">$R195-$S195</f>
        <v>#N/A</v>
      </c>
      <c r="Y195" s="155" t="e">
        <f aca="true" t="shared" si="43" ref="Y195:Y258">$S195-$R195</f>
        <v>#N/A</v>
      </c>
      <c r="Z195" s="68" t="e">
        <f>ROUND($R195+(Teams!$H$2*($T195-$V195)),0)</f>
        <v>#N/A</v>
      </c>
      <c r="AA195" s="158" t="e">
        <f>ROUND($S195+(Teams!$H$2*($U195-$W195)),0)</f>
        <v>#N/A</v>
      </c>
    </row>
    <row r="196" spans="2:27" ht="12.75">
      <c r="B196" s="158">
        <v>10</v>
      </c>
      <c r="C196" s="216" t="s">
        <v>265</v>
      </c>
      <c r="D196" s="171">
        <v>10</v>
      </c>
      <c r="E196" s="175">
        <v>17</v>
      </c>
      <c r="F196" s="221" t="s">
        <v>19</v>
      </c>
      <c r="G196" s="151" t="str">
        <f>INDEX(Teams!$B$5:$H$45,MATCH(Results!$C196,Teams!$B$5:$B$45,0),3)</f>
        <v>Extraterrestrial Dome of Sport</v>
      </c>
      <c r="H196" s="151" t="str">
        <f>INDEX(Teams!$B$5:$H$45,MATCH(Results!$C196,Teams!$B$5:$B$45,0),5)</f>
        <v>Sequoia</v>
      </c>
      <c r="I196" s="152" t="str">
        <f>INDEX(Teams!$B$5:$H$45,MATCH(Results!$C196,Teams!$B$5:$B$45,0),6)</f>
        <v>ACSP</v>
      </c>
      <c r="J196" s="152" t="str">
        <f>INDEX(Teams!$B$5:$H$45,MATCH(Results!$F196,Teams!$B$5:$B$45,0),6)</f>
        <v>ALZD</v>
      </c>
      <c r="K196" s="69" t="str">
        <f t="shared" si="33"/>
        <v>ACSPALZD</v>
      </c>
      <c r="L196" s="68" t="str">
        <f t="shared" si="34"/>
        <v>ALZD</v>
      </c>
      <c r="M196" s="68">
        <f t="shared" si="35"/>
        <v>1</v>
      </c>
      <c r="N196" s="68">
        <f t="shared" si="36"/>
        <v>7</v>
      </c>
      <c r="O196" s="68" t="str">
        <f t="shared" si="37"/>
        <v>Away</v>
      </c>
      <c r="P196" s="68" t="str">
        <f t="shared" si="38"/>
        <v>ACSP10</v>
      </c>
      <c r="Q196" s="68" t="str">
        <f t="shared" si="39"/>
        <v>ALZD10</v>
      </c>
      <c r="R196" s="68" t="e">
        <f>INDEX(RankPoints!$B$4:$AK$19,$B196+1,MATCH(Results!$I196,RankPoints!$B$4:$AK$4,0))</f>
        <v>#N/A</v>
      </c>
      <c r="S196" s="68">
        <f>INDEX(RankPoints!$B$4:$AK$19,$B196+1,MATCH(Results!$J196,RankPoints!$B$4:$AK$4,0))</f>
        <v>1583</v>
      </c>
      <c r="T196" s="68">
        <f t="shared" si="40"/>
        <v>0</v>
      </c>
      <c r="U196" s="155">
        <f t="shared" si="41"/>
        <v>1</v>
      </c>
      <c r="V196" s="156" t="e">
        <f>1/(1+(10^($X196/'[1]Teams'!$F$3)))</f>
        <v>#N/A</v>
      </c>
      <c r="W196" s="157" t="e">
        <f>1/(1+(10^($Y196/'[1]Teams'!$F$3)))</f>
        <v>#N/A</v>
      </c>
      <c r="X196" s="68" t="e">
        <f t="shared" si="42"/>
        <v>#N/A</v>
      </c>
      <c r="Y196" s="155" t="e">
        <f t="shared" si="43"/>
        <v>#N/A</v>
      </c>
      <c r="Z196" s="68" t="e">
        <f>ROUND($R196+(Teams!$H$2*($T196-$V196)),0)</f>
        <v>#N/A</v>
      </c>
      <c r="AA196" s="158" t="e">
        <f>ROUND($S196+(Teams!$H$2*($U196-$W196)),0)</f>
        <v>#N/A</v>
      </c>
    </row>
    <row r="197" spans="2:27" ht="12.75">
      <c r="B197" s="158">
        <v>10</v>
      </c>
      <c r="C197" s="216" t="s">
        <v>79</v>
      </c>
      <c r="D197" s="171">
        <v>33</v>
      </c>
      <c r="E197" s="175">
        <v>17</v>
      </c>
      <c r="F197" s="221" t="s">
        <v>112</v>
      </c>
      <c r="G197" s="151" t="str">
        <f>INDEX(Teams!$B$5:$H$45,MATCH(Results!$C197,Teams!$B$5:$B$45,0),3)</f>
        <v>Anatidae Field</v>
      </c>
      <c r="H197" s="151" t="str">
        <f>INDEX(Teams!$B$5:$H$45,MATCH(Results!$C197,Teams!$B$5:$B$45,0),5)</f>
        <v>Sequoia</v>
      </c>
      <c r="I197" s="152" t="str">
        <f>INDEX(Teams!$B$5:$H$45,MATCH(Results!$C197,Teams!$B$5:$B$45,0),6)</f>
        <v>RVMD</v>
      </c>
      <c r="J197" s="152" t="str">
        <f>INDEX(Teams!$B$5:$H$45,MATCH(Results!$F197,Teams!$B$5:$B$45,0),6)</f>
        <v>FHST</v>
      </c>
      <c r="K197" s="69" t="str">
        <f t="shared" si="33"/>
        <v>RVMDFHST</v>
      </c>
      <c r="L197" s="68" t="str">
        <f t="shared" si="34"/>
        <v>RVMD</v>
      </c>
      <c r="M197" s="68">
        <f t="shared" si="35"/>
        <v>1</v>
      </c>
      <c r="N197" s="68">
        <f t="shared" si="36"/>
        <v>16</v>
      </c>
      <c r="O197" s="68" t="str">
        <f t="shared" si="37"/>
        <v>Home</v>
      </c>
      <c r="P197" s="68" t="str">
        <f t="shared" si="38"/>
        <v>RVMD10</v>
      </c>
      <c r="Q197" s="68" t="str">
        <f t="shared" si="39"/>
        <v>FHST10</v>
      </c>
      <c r="R197" s="68">
        <f>INDEX(RankPoints!$B$4:$AK$19,$B197+1,MATCH(Results!$I197,RankPoints!$B$4:$AK$4,0))</f>
        <v>-136</v>
      </c>
      <c r="S197" s="68">
        <f>INDEX(RankPoints!$B$4:$AK$19,$B197+1,MATCH(Results!$J197,RankPoints!$B$4:$AK$4,0))</f>
        <v>-3108</v>
      </c>
      <c r="T197" s="68">
        <f t="shared" si="40"/>
        <v>1</v>
      </c>
      <c r="U197" s="155">
        <f t="shared" si="41"/>
        <v>0</v>
      </c>
      <c r="V197" s="156">
        <f>1/(1+(10^($X197/'[1]Teams'!$F$3)))</f>
        <v>3.7153521529333037E-08</v>
      </c>
      <c r="W197" s="157">
        <f>1/(1+(10^($Y197/'[1]Teams'!$F$3)))</f>
        <v>0.9999999628464784</v>
      </c>
      <c r="X197" s="68">
        <f t="shared" si="42"/>
        <v>2972</v>
      </c>
      <c r="Y197" s="155">
        <f t="shared" si="43"/>
        <v>-2972</v>
      </c>
      <c r="Z197" s="68">
        <f>ROUND($R197+(Teams!$H$2*($T197-$V197)),0)</f>
        <v>-104</v>
      </c>
      <c r="AA197" s="158">
        <f>ROUND($S197+(Teams!$H$2*($U197-$W197)),0)</f>
        <v>-3140</v>
      </c>
    </row>
    <row r="198" spans="2:27" ht="12.75">
      <c r="B198" s="158">
        <v>10</v>
      </c>
      <c r="C198" s="216" t="s">
        <v>111</v>
      </c>
      <c r="D198" s="171">
        <v>10</v>
      </c>
      <c r="E198" s="175">
        <v>7</v>
      </c>
      <c r="F198" s="221" t="s">
        <v>119</v>
      </c>
      <c r="G198" s="151" t="str">
        <f>INDEX(Teams!$B$5:$H$45,MATCH(Results!$C198,Teams!$B$5:$B$45,0),3)</f>
        <v>Welcome City Stadium</v>
      </c>
      <c r="H198" s="151" t="str">
        <f>INDEX(Teams!$B$5:$H$45,MATCH(Results!$C198,Teams!$B$5:$B$45,0),5)</f>
        <v>Sequoia</v>
      </c>
      <c r="I198" s="152" t="str">
        <f>INDEX(Teams!$B$5:$H$45,MATCH(Results!$C198,Teams!$B$5:$B$45,0),6)</f>
        <v>NRDN</v>
      </c>
      <c r="J198" s="152" t="str">
        <f>INDEX(Teams!$B$5:$H$45,MATCH(Results!$F198,Teams!$B$5:$B$45,0),6)</f>
        <v>NETT</v>
      </c>
      <c r="K198" s="69" t="str">
        <f t="shared" si="33"/>
        <v>NRDNNETT</v>
      </c>
      <c r="L198" s="68" t="str">
        <f t="shared" si="34"/>
        <v>NRDN</v>
      </c>
      <c r="M198" s="68">
        <f t="shared" si="35"/>
        <v>1</v>
      </c>
      <c r="N198" s="68">
        <f t="shared" si="36"/>
        <v>3</v>
      </c>
      <c r="O198" s="68" t="str">
        <f t="shared" si="37"/>
        <v>Home</v>
      </c>
      <c r="P198" s="68" t="str">
        <f t="shared" si="38"/>
        <v>NRDN10</v>
      </c>
      <c r="Q198" s="68" t="str">
        <f t="shared" si="39"/>
        <v>NETT10</v>
      </c>
      <c r="R198" s="68">
        <f>INDEX(RankPoints!$B$4:$AK$19,$B198+1,MATCH(Results!$I198,RankPoints!$B$4:$AK$4,0))</f>
        <v>3212</v>
      </c>
      <c r="S198" s="68" t="e">
        <f>INDEX(RankPoints!$B$4:$AK$19,$B198+1,MATCH(Results!$J198,RankPoints!$B$4:$AK$4,0))</f>
        <v>#N/A</v>
      </c>
      <c r="T198" s="68">
        <f t="shared" si="40"/>
        <v>1</v>
      </c>
      <c r="U198" s="155">
        <f t="shared" si="41"/>
        <v>0</v>
      </c>
      <c r="V198" s="156" t="e">
        <f>1/(1+(10^($X198/'[1]Teams'!$F$3)))</f>
        <v>#N/A</v>
      </c>
      <c r="W198" s="157" t="e">
        <f>1/(1+(10^($Y198/'[1]Teams'!$F$3)))</f>
        <v>#N/A</v>
      </c>
      <c r="X198" s="68" t="e">
        <f t="shared" si="42"/>
        <v>#N/A</v>
      </c>
      <c r="Y198" s="155" t="e">
        <f t="shared" si="43"/>
        <v>#N/A</v>
      </c>
      <c r="Z198" s="68" t="e">
        <f>ROUND($R198+(Teams!$H$2*($T198-$V198)),0)</f>
        <v>#N/A</v>
      </c>
      <c r="AA198" s="158" t="e">
        <f>ROUND($S198+(Teams!$H$2*($U198-$W198)),0)</f>
        <v>#N/A</v>
      </c>
    </row>
    <row r="199" spans="2:27" ht="12.75">
      <c r="B199" s="158">
        <v>10</v>
      </c>
      <c r="C199" s="216" t="s">
        <v>152</v>
      </c>
      <c r="D199" s="171">
        <v>0</v>
      </c>
      <c r="E199" s="175">
        <v>16</v>
      </c>
      <c r="F199" s="221" t="s">
        <v>78</v>
      </c>
      <c r="G199" s="151" t="str">
        <f>INDEX(Teams!$B$5:$H$45,MATCH(Results!$C199,Teams!$B$5:$B$45,0),3)</f>
        <v>Trent Community Park</v>
      </c>
      <c r="H199" s="151" t="str">
        <f>INDEX(Teams!$B$5:$H$45,MATCH(Results!$C199,Teams!$B$5:$B$45,0),5)</f>
        <v>Woodlands</v>
      </c>
      <c r="I199" s="152" t="str">
        <f>INDEX(Teams!$B$5:$H$45,MATCH(Results!$C199,Teams!$B$5:$B$45,0),6)</f>
        <v>WALT</v>
      </c>
      <c r="J199" s="152" t="str">
        <f>INDEX(Teams!$B$5:$H$45,MATCH(Results!$F199,Teams!$B$5:$B$45,0),6)</f>
        <v>FRBB</v>
      </c>
      <c r="K199" s="69" t="str">
        <f t="shared" si="33"/>
        <v>WALTFRBB</v>
      </c>
      <c r="L199" s="68" t="str">
        <f t="shared" si="34"/>
        <v>FRBB</v>
      </c>
      <c r="M199" s="68">
        <f t="shared" si="35"/>
        <v>1</v>
      </c>
      <c r="N199" s="68">
        <f t="shared" si="36"/>
        <v>16</v>
      </c>
      <c r="O199" s="68" t="str">
        <f t="shared" si="37"/>
        <v>Away</v>
      </c>
      <c r="P199" s="68" t="str">
        <f t="shared" si="38"/>
        <v>WALT10</v>
      </c>
      <c r="Q199" s="68" t="str">
        <f t="shared" si="39"/>
        <v>FRBB10</v>
      </c>
      <c r="R199" s="68" t="e">
        <f>INDEX(RankPoints!$B$4:$AK$19,$B199+1,MATCH(Results!$I199,RankPoints!$B$4:$AK$4,0))</f>
        <v>#N/A</v>
      </c>
      <c r="S199" s="68">
        <f>INDEX(RankPoints!$B$4:$AK$19,$B199+1,MATCH(Results!$J199,RankPoints!$B$4:$AK$4,0))</f>
        <v>326</v>
      </c>
      <c r="T199" s="68">
        <f t="shared" si="40"/>
        <v>0</v>
      </c>
      <c r="U199" s="155">
        <f t="shared" si="41"/>
        <v>1</v>
      </c>
      <c r="V199" s="156" t="e">
        <f>1/(1+(10^($X199/'[1]Teams'!$F$3)))</f>
        <v>#N/A</v>
      </c>
      <c r="W199" s="157" t="e">
        <f>1/(1+(10^($Y199/'[1]Teams'!$F$3)))</f>
        <v>#N/A</v>
      </c>
      <c r="X199" s="68" t="e">
        <f t="shared" si="42"/>
        <v>#N/A</v>
      </c>
      <c r="Y199" s="155" t="e">
        <f t="shared" si="43"/>
        <v>#N/A</v>
      </c>
      <c r="Z199" s="68" t="e">
        <f>ROUND($R199+(Teams!$H$2*($T199-$V199)),0)</f>
        <v>#N/A</v>
      </c>
      <c r="AA199" s="158" t="e">
        <f>ROUND($S199+(Teams!$H$2*($U199-$W199)),0)</f>
        <v>#N/A</v>
      </c>
    </row>
    <row r="200" spans="2:27" ht="12.75">
      <c r="B200" s="158">
        <v>10</v>
      </c>
      <c r="C200" s="216" t="s">
        <v>127</v>
      </c>
      <c r="D200" s="171">
        <v>33</v>
      </c>
      <c r="E200" s="175">
        <v>10</v>
      </c>
      <c r="F200" s="221" t="s">
        <v>255</v>
      </c>
      <c r="G200" s="151" t="str">
        <f>INDEX(Teams!$B$5:$H$45,MATCH(Results!$C200,Teams!$B$5:$B$45,0),3)</f>
        <v>Glenn Memorial Stadium</v>
      </c>
      <c r="H200" s="151" t="str">
        <f>INDEX(Teams!$B$5:$H$45,MATCH(Results!$C200,Teams!$B$5:$B$45,0),5)</f>
        <v>Woodlands</v>
      </c>
      <c r="I200" s="152" t="str">
        <f>INDEX(Teams!$B$5:$H$45,MATCH(Results!$C200,Teams!$B$5:$B$45,0),6)</f>
        <v>BUCK</v>
      </c>
      <c r="J200" s="152" t="str">
        <f>INDEX(Teams!$B$5:$H$45,MATCH(Results!$F200,Teams!$B$5:$B$45,0),6)</f>
        <v>HUDS</v>
      </c>
      <c r="K200" s="69" t="str">
        <f t="shared" si="33"/>
        <v>BUCKHUDS</v>
      </c>
      <c r="L200" s="68" t="str">
        <f t="shared" si="34"/>
        <v>BUCK</v>
      </c>
      <c r="M200" s="68">
        <f t="shared" si="35"/>
        <v>1</v>
      </c>
      <c r="N200" s="68">
        <f t="shared" si="36"/>
        <v>23</v>
      </c>
      <c r="O200" s="68" t="str">
        <f t="shared" si="37"/>
        <v>Home</v>
      </c>
      <c r="P200" s="68" t="str">
        <f t="shared" si="38"/>
        <v>BUCK10</v>
      </c>
      <c r="Q200" s="68" t="str">
        <f t="shared" si="39"/>
        <v>HUDS10</v>
      </c>
      <c r="R200" s="68" t="e">
        <f>INDEX(RankPoints!$B$4:$AK$19,$B200+1,MATCH(Results!$I200,RankPoints!$B$4:$AK$4,0))</f>
        <v>#N/A</v>
      </c>
      <c r="S200" s="68" t="e">
        <f>INDEX(RankPoints!$B$4:$AK$19,$B200+1,MATCH(Results!$J200,RankPoints!$B$4:$AK$4,0))</f>
        <v>#N/A</v>
      </c>
      <c r="T200" s="68">
        <f t="shared" si="40"/>
        <v>1</v>
      </c>
      <c r="U200" s="155">
        <f t="shared" si="41"/>
        <v>0</v>
      </c>
      <c r="V200" s="156" t="e">
        <f>1/(1+(10^($X200/'[1]Teams'!$F$3)))</f>
        <v>#N/A</v>
      </c>
      <c r="W200" s="157" t="e">
        <f>1/(1+(10^($Y200/'[1]Teams'!$F$3)))</f>
        <v>#N/A</v>
      </c>
      <c r="X200" s="68" t="e">
        <f t="shared" si="42"/>
        <v>#N/A</v>
      </c>
      <c r="Y200" s="155" t="e">
        <f t="shared" si="43"/>
        <v>#N/A</v>
      </c>
      <c r="Z200" s="68" t="e">
        <f>ROUND($R200+(Teams!$H$2*($T200-$V200)),0)</f>
        <v>#N/A</v>
      </c>
      <c r="AA200" s="158" t="e">
        <f>ROUND($S200+(Teams!$H$2*($U200-$W200)),0)</f>
        <v>#N/A</v>
      </c>
    </row>
    <row r="201" spans="2:27" ht="12.75">
      <c r="B201" s="158">
        <v>10</v>
      </c>
      <c r="C201" s="216" t="s">
        <v>110</v>
      </c>
      <c r="D201" s="171">
        <v>29</v>
      </c>
      <c r="E201" s="175">
        <v>17</v>
      </c>
      <c r="F201" s="221" t="s">
        <v>158</v>
      </c>
      <c r="G201" s="151" t="str">
        <f>INDEX(Teams!$B$5:$H$45,MATCH(Results!$C201,Teams!$B$5:$B$45,0),3)</f>
        <v>Martin Connors Memorial Field</v>
      </c>
      <c r="H201" s="151" t="str">
        <f>INDEX(Teams!$B$5:$H$45,MATCH(Results!$C201,Teams!$B$5:$B$45,0),5)</f>
        <v>Woodlands</v>
      </c>
      <c r="I201" s="152" t="str">
        <f>INDEX(Teams!$B$5:$H$45,MATCH(Results!$C201,Teams!$B$5:$B$45,0),6)</f>
        <v>UTCA</v>
      </c>
      <c r="J201" s="152" t="str">
        <f>INDEX(Teams!$B$5:$H$45,MATCH(Results!$F201,Teams!$B$5:$B$45,0),6)</f>
        <v>TOUF</v>
      </c>
      <c r="K201" s="69" t="str">
        <f t="shared" si="33"/>
        <v>UTCATOUF</v>
      </c>
      <c r="L201" s="68" t="str">
        <f t="shared" si="34"/>
        <v>UTCA</v>
      </c>
      <c r="M201" s="68">
        <f t="shared" si="35"/>
        <v>1</v>
      </c>
      <c r="N201" s="68">
        <f t="shared" si="36"/>
        <v>12</v>
      </c>
      <c r="O201" s="68" t="str">
        <f t="shared" si="37"/>
        <v>Home</v>
      </c>
      <c r="P201" s="68" t="str">
        <f t="shared" si="38"/>
        <v>UTCA10</v>
      </c>
      <c r="Q201" s="68" t="str">
        <f t="shared" si="39"/>
        <v>TOUF10</v>
      </c>
      <c r="R201" s="68">
        <f>INDEX(RankPoints!$B$4:$AK$19,$B201+1,MATCH(Results!$I201,RankPoints!$B$4:$AK$4,0))</f>
        <v>799</v>
      </c>
      <c r="S201" s="68" t="e">
        <f>INDEX(RankPoints!$B$4:$AK$19,$B201+1,MATCH(Results!$J201,RankPoints!$B$4:$AK$4,0))</f>
        <v>#N/A</v>
      </c>
      <c r="T201" s="68">
        <f t="shared" si="40"/>
        <v>1</v>
      </c>
      <c r="U201" s="155">
        <f t="shared" si="41"/>
        <v>0</v>
      </c>
      <c r="V201" s="156" t="e">
        <f>1/(1+(10^($X201/'[1]Teams'!$F$3)))</f>
        <v>#N/A</v>
      </c>
      <c r="W201" s="157" t="e">
        <f>1/(1+(10^($Y201/'[1]Teams'!$F$3)))</f>
        <v>#N/A</v>
      </c>
      <c r="X201" s="68" t="e">
        <f t="shared" si="42"/>
        <v>#N/A</v>
      </c>
      <c r="Y201" s="155" t="e">
        <f t="shared" si="43"/>
        <v>#N/A</v>
      </c>
      <c r="Z201" s="68" t="e">
        <f>ROUND($R201+(Teams!$H$2*($T201-$V201)),0)</f>
        <v>#N/A</v>
      </c>
      <c r="AA201" s="158" t="e">
        <f>ROUND($S201+(Teams!$H$2*($U201-$W201)),0)</f>
        <v>#N/A</v>
      </c>
    </row>
    <row r="202" spans="2:27" ht="12.75">
      <c r="B202" s="158">
        <v>10</v>
      </c>
      <c r="C202" s="216" t="s">
        <v>125</v>
      </c>
      <c r="D202" s="171">
        <v>15</v>
      </c>
      <c r="E202" s="175">
        <v>24</v>
      </c>
      <c r="F202" s="221" t="s">
        <v>109</v>
      </c>
      <c r="G202" s="151" t="str">
        <f>INDEX(Teams!$B$5:$H$45,MATCH(Results!$C202,Teams!$B$5:$B$45,0),3)</f>
        <v>Groundhog Field</v>
      </c>
      <c r="H202" s="151" t="str">
        <f>INDEX(Teams!$B$5:$H$45,MATCH(Results!$C202,Teams!$B$5:$B$45,0),5)</f>
        <v>Woodlands</v>
      </c>
      <c r="I202" s="152" t="str">
        <f>INDEX(Teams!$B$5:$H$45,MATCH(Results!$C202,Teams!$B$5:$B$45,0),6)</f>
        <v>JGZA</v>
      </c>
      <c r="J202" s="152" t="str">
        <f>INDEX(Teams!$B$5:$H$45,MATCH(Results!$F202,Teams!$B$5:$B$45,0),6)</f>
        <v>ARKN</v>
      </c>
      <c r="K202" s="69" t="str">
        <f t="shared" si="33"/>
        <v>JGZAARKN</v>
      </c>
      <c r="L202" s="68" t="str">
        <f t="shared" si="34"/>
        <v>ARKN</v>
      </c>
      <c r="M202" s="68">
        <f t="shared" si="35"/>
        <v>1</v>
      </c>
      <c r="N202" s="68">
        <f t="shared" si="36"/>
        <v>9</v>
      </c>
      <c r="O202" s="68" t="str">
        <f t="shared" si="37"/>
        <v>Away</v>
      </c>
      <c r="P202" s="68" t="str">
        <f t="shared" si="38"/>
        <v>JGZA10</v>
      </c>
      <c r="Q202" s="68" t="str">
        <f t="shared" si="39"/>
        <v>ARKN10</v>
      </c>
      <c r="R202" s="68" t="e">
        <f>INDEX(RankPoints!$B$4:$AK$19,$B202+1,MATCH(Results!$I202,RankPoints!$B$4:$AK$4,0))</f>
        <v>#N/A</v>
      </c>
      <c r="S202" s="68">
        <f>INDEX(RankPoints!$B$4:$AK$19,$B202+1,MATCH(Results!$J202,RankPoints!$B$4:$AK$4,0))</f>
        <v>351</v>
      </c>
      <c r="T202" s="68">
        <f t="shared" si="40"/>
        <v>0</v>
      </c>
      <c r="U202" s="155">
        <f t="shared" si="41"/>
        <v>1</v>
      </c>
      <c r="V202" s="156" t="e">
        <f>1/(1+(10^($X202/'[1]Teams'!$F$3)))</f>
        <v>#N/A</v>
      </c>
      <c r="W202" s="157" t="e">
        <f>1/(1+(10^($Y202/'[1]Teams'!$F$3)))</f>
        <v>#N/A</v>
      </c>
      <c r="X202" s="68" t="e">
        <f t="shared" si="42"/>
        <v>#N/A</v>
      </c>
      <c r="Y202" s="155" t="e">
        <f t="shared" si="43"/>
        <v>#N/A</v>
      </c>
      <c r="Z202" s="68" t="e">
        <f>ROUND($R202+(Teams!$H$2*($T202-$V202)),0)</f>
        <v>#N/A</v>
      </c>
      <c r="AA202" s="158" t="e">
        <f>ROUND($S202+(Teams!$H$2*($U202-$W202)),0)</f>
        <v>#N/A</v>
      </c>
    </row>
    <row r="203" spans="2:27" ht="12.75">
      <c r="B203" s="158">
        <v>11</v>
      </c>
      <c r="C203" s="216" t="s">
        <v>124</v>
      </c>
      <c r="D203" s="171">
        <v>28</v>
      </c>
      <c r="E203" s="175">
        <v>15</v>
      </c>
      <c r="F203" s="221" t="s">
        <v>271</v>
      </c>
      <c r="G203" s="151" t="str">
        <f>INDEX(Teams!$B$5:$H$45,MATCH(Results!$C203,Teams!$B$5:$B$45,0),3)</f>
        <v>Bear Stadium</v>
      </c>
      <c r="H203" s="151" t="str">
        <f>INDEX(Teams!$B$5:$H$45,MATCH(Results!$C203,Teams!$B$5:$B$45,0),5)</f>
        <v>Big Eight</v>
      </c>
      <c r="I203" s="152" t="str">
        <f>INDEX(Teams!$B$5:$H$45,MATCH(Results!$C203,Teams!$B$5:$B$45,0),6)</f>
        <v>TIMC</v>
      </c>
      <c r="J203" s="152" t="str">
        <f>INDEX(Teams!$B$5:$H$45,MATCH(Results!$F203,Teams!$B$5:$B$45,0),6)</f>
        <v>WAA</v>
      </c>
      <c r="K203" s="69" t="str">
        <f t="shared" si="33"/>
        <v>TIMCWAA</v>
      </c>
      <c r="L203" s="68" t="str">
        <f t="shared" si="34"/>
        <v>TIMC</v>
      </c>
      <c r="M203" s="68">
        <f t="shared" si="35"/>
        <v>1</v>
      </c>
      <c r="N203" s="68">
        <f t="shared" si="36"/>
        <v>13</v>
      </c>
      <c r="O203" s="68" t="str">
        <f t="shared" si="37"/>
        <v>Home</v>
      </c>
      <c r="P203" s="68" t="str">
        <f t="shared" si="38"/>
        <v>TIMC11</v>
      </c>
      <c r="Q203" s="68" t="str">
        <f t="shared" si="39"/>
        <v>WAA11</v>
      </c>
      <c r="R203" s="68" t="e">
        <f>INDEX(RankPoints!$B$4:$AK$19,$B203+1,MATCH(Results!$I203,RankPoints!$B$4:$AK$4,0))</f>
        <v>#N/A</v>
      </c>
      <c r="S203" s="68" t="e">
        <f>INDEX(RankPoints!$B$4:$AK$19,$B203+1,MATCH(Results!$J203,RankPoints!$B$4:$AK$4,0))</f>
        <v>#N/A</v>
      </c>
      <c r="T203" s="68">
        <f t="shared" si="40"/>
        <v>1</v>
      </c>
      <c r="U203" s="155">
        <f t="shared" si="41"/>
        <v>0</v>
      </c>
      <c r="V203" s="156" t="e">
        <f>1/(1+(10^($X203/'[1]Teams'!$F$3)))</f>
        <v>#N/A</v>
      </c>
      <c r="W203" s="157" t="e">
        <f>1/(1+(10^($Y203/'[1]Teams'!$F$3)))</f>
        <v>#N/A</v>
      </c>
      <c r="X203" s="68" t="e">
        <f t="shared" si="42"/>
        <v>#N/A</v>
      </c>
      <c r="Y203" s="155" t="e">
        <f t="shared" si="43"/>
        <v>#N/A</v>
      </c>
      <c r="Z203" s="68" t="e">
        <f>ROUND($R203+(Teams!$H$2*($T203-$V203)),0)</f>
        <v>#N/A</v>
      </c>
      <c r="AA203" s="158" t="e">
        <f>ROUND($S203+(Teams!$H$2*($U203-$W203)),0)</f>
        <v>#N/A</v>
      </c>
    </row>
    <row r="204" spans="2:27" ht="12.75">
      <c r="B204" s="158">
        <v>11</v>
      </c>
      <c r="C204" s="216" t="s">
        <v>76</v>
      </c>
      <c r="D204" s="171">
        <v>21</v>
      </c>
      <c r="E204" s="175">
        <v>0</v>
      </c>
      <c r="F204" s="221" t="s">
        <v>154</v>
      </c>
      <c r="G204" s="151" t="str">
        <f>INDEX(Teams!$B$5:$H$45,MATCH(Results!$C204,Teams!$B$5:$B$45,0),3)</f>
        <v>Bronco Stadium</v>
      </c>
      <c r="H204" s="151" t="str">
        <f>INDEX(Teams!$B$5:$H$45,MATCH(Results!$C204,Teams!$B$5:$B$45,0),5)</f>
        <v>Big Eight</v>
      </c>
      <c r="I204" s="152" t="str">
        <f>INDEX(Teams!$B$5:$H$45,MATCH(Results!$C204,Teams!$B$5:$B$45,0),6)</f>
        <v>SCTT</v>
      </c>
      <c r="J204" s="152" t="str">
        <f>INDEX(Teams!$B$5:$H$45,MATCH(Results!$F204,Teams!$B$5:$B$45,0),6)</f>
        <v>NOBL</v>
      </c>
      <c r="K204" s="69" t="str">
        <f t="shared" si="33"/>
        <v>SCTTNOBL</v>
      </c>
      <c r="L204" s="68" t="str">
        <f t="shared" si="34"/>
        <v>SCTT</v>
      </c>
      <c r="M204" s="68">
        <f t="shared" si="35"/>
        <v>1</v>
      </c>
      <c r="N204" s="68">
        <f t="shared" si="36"/>
        <v>21</v>
      </c>
      <c r="O204" s="68" t="str">
        <f t="shared" si="37"/>
        <v>Home</v>
      </c>
      <c r="P204" s="68" t="str">
        <f t="shared" si="38"/>
        <v>SCTT11</v>
      </c>
      <c r="Q204" s="68" t="str">
        <f t="shared" si="39"/>
        <v>NOBL11</v>
      </c>
      <c r="R204" s="68">
        <f>INDEX(RankPoints!$B$4:$AK$19,$B204+1,MATCH(Results!$I204,RankPoints!$B$4:$AK$4,0))</f>
        <v>1651</v>
      </c>
      <c r="S204" s="68" t="e">
        <f>INDEX(RankPoints!$B$4:$AK$19,$B204+1,MATCH(Results!$J204,RankPoints!$B$4:$AK$4,0))</f>
        <v>#N/A</v>
      </c>
      <c r="T204" s="68">
        <f t="shared" si="40"/>
        <v>1</v>
      </c>
      <c r="U204" s="155">
        <f t="shared" si="41"/>
        <v>0</v>
      </c>
      <c r="V204" s="156" t="e">
        <f>1/(1+(10^($X204/'[1]Teams'!$F$3)))</f>
        <v>#N/A</v>
      </c>
      <c r="W204" s="157" t="e">
        <f>1/(1+(10^($Y204/'[1]Teams'!$F$3)))</f>
        <v>#N/A</v>
      </c>
      <c r="X204" s="68" t="e">
        <f t="shared" si="42"/>
        <v>#N/A</v>
      </c>
      <c r="Y204" s="155" t="e">
        <f t="shared" si="43"/>
        <v>#N/A</v>
      </c>
      <c r="Z204" s="68" t="e">
        <f>ROUND($R204+(Teams!$H$2*($T204-$V204)),0)</f>
        <v>#N/A</v>
      </c>
      <c r="AA204" s="158" t="e">
        <f>ROUND($S204+(Teams!$H$2*($U204-$W204)),0)</f>
        <v>#N/A</v>
      </c>
    </row>
    <row r="205" spans="2:27" ht="12.75">
      <c r="B205" s="158">
        <v>11</v>
      </c>
      <c r="C205" s="216" t="s">
        <v>77</v>
      </c>
      <c r="D205" s="171">
        <v>16</v>
      </c>
      <c r="E205" s="175">
        <v>27</v>
      </c>
      <c r="F205" s="221" t="s">
        <v>144</v>
      </c>
      <c r="G205" s="151" t="str">
        <f>INDEX(Teams!$B$5:$H$45,MATCH(Results!$C205,Teams!$B$5:$B$45,0),3)</f>
        <v>Montbenoit Dome</v>
      </c>
      <c r="H205" s="151" t="str">
        <f>INDEX(Teams!$B$5:$H$45,MATCH(Results!$C205,Teams!$B$5:$B$45,0),5)</f>
        <v>Big Eight</v>
      </c>
      <c r="I205" s="152" t="str">
        <f>INDEX(Teams!$B$5:$H$45,MATCH(Results!$C205,Teams!$B$5:$B$45,0),6)</f>
        <v>SAUG</v>
      </c>
      <c r="J205" s="152" t="str">
        <f>INDEX(Teams!$B$5:$H$45,MATCH(Results!$F205,Teams!$B$5:$B$45,0),6)</f>
        <v>ARLN</v>
      </c>
      <c r="K205" s="69" t="str">
        <f t="shared" si="33"/>
        <v>SAUGARLN</v>
      </c>
      <c r="L205" s="68" t="str">
        <f t="shared" si="34"/>
        <v>ARLN</v>
      </c>
      <c r="M205" s="68">
        <f t="shared" si="35"/>
        <v>1</v>
      </c>
      <c r="N205" s="68">
        <f t="shared" si="36"/>
        <v>11</v>
      </c>
      <c r="O205" s="68" t="str">
        <f t="shared" si="37"/>
        <v>Away</v>
      </c>
      <c r="P205" s="68" t="str">
        <f t="shared" si="38"/>
        <v>SAUG11</v>
      </c>
      <c r="Q205" s="68" t="str">
        <f t="shared" si="39"/>
        <v>ARLN11</v>
      </c>
      <c r="R205" s="68">
        <f>INDEX(RankPoints!$B$4:$AK$19,$B205+1,MATCH(Results!$I205,RankPoints!$B$4:$AK$4,0))</f>
        <v>0</v>
      </c>
      <c r="S205" s="68" t="e">
        <f>INDEX(RankPoints!$B$4:$AK$19,$B205+1,MATCH(Results!$J205,RankPoints!$B$4:$AK$4,0))</f>
        <v>#N/A</v>
      </c>
      <c r="T205" s="68">
        <f t="shared" si="40"/>
        <v>0</v>
      </c>
      <c r="U205" s="155">
        <f t="shared" si="41"/>
        <v>1</v>
      </c>
      <c r="V205" s="156" t="e">
        <f>1/(1+(10^($X205/'[1]Teams'!$F$3)))</f>
        <v>#N/A</v>
      </c>
      <c r="W205" s="157" t="e">
        <f>1/(1+(10^($Y205/'[1]Teams'!$F$3)))</f>
        <v>#N/A</v>
      </c>
      <c r="X205" s="68" t="e">
        <f t="shared" si="42"/>
        <v>#N/A</v>
      </c>
      <c r="Y205" s="155" t="e">
        <f t="shared" si="43"/>
        <v>#N/A</v>
      </c>
      <c r="Z205" s="68" t="e">
        <f>ROUND($R205+(Teams!$H$2*($T205-$V205)),0)</f>
        <v>#N/A</v>
      </c>
      <c r="AA205" s="158" t="e">
        <f>ROUND($S205+(Teams!$H$2*($U205-$W205)),0)</f>
        <v>#N/A</v>
      </c>
    </row>
    <row r="206" spans="2:27" ht="12.75">
      <c r="B206" s="158">
        <v>11</v>
      </c>
      <c r="C206" s="216" t="s">
        <v>148</v>
      </c>
      <c r="D206" s="171">
        <v>18</v>
      </c>
      <c r="E206" s="175">
        <v>27</v>
      </c>
      <c r="F206" s="221" t="s">
        <v>270</v>
      </c>
      <c r="G206" s="151" t="str">
        <f>INDEX(Teams!$B$5:$H$45,MATCH(Results!$C206,Teams!$B$5:$B$45,0),3)</f>
        <v>National Stadium</v>
      </c>
      <c r="H206" s="151" t="str">
        <f>INDEX(Teams!$B$5:$H$45,MATCH(Results!$C206,Teams!$B$5:$B$45,0),5)</f>
        <v>Big Eight</v>
      </c>
      <c r="I206" s="152" t="str">
        <f>INDEX(Teams!$B$5:$H$45,MATCH(Results!$C206,Teams!$B$5:$B$45,0),6)</f>
        <v>RELK</v>
      </c>
      <c r="J206" s="152" t="str">
        <f>INDEX(Teams!$B$5:$H$45,MATCH(Results!$F206,Teams!$B$5:$B$45,0),6)</f>
        <v>BUGN</v>
      </c>
      <c r="K206" s="69" t="str">
        <f t="shared" si="33"/>
        <v>RELKBUGN</v>
      </c>
      <c r="L206" s="68" t="str">
        <f t="shared" si="34"/>
        <v>BUGN</v>
      </c>
      <c r="M206" s="68">
        <f t="shared" si="35"/>
        <v>1</v>
      </c>
      <c r="N206" s="68">
        <f t="shared" si="36"/>
        <v>9</v>
      </c>
      <c r="O206" s="68" t="str">
        <f t="shared" si="37"/>
        <v>Away</v>
      </c>
      <c r="P206" s="68" t="str">
        <f t="shared" si="38"/>
        <v>RELK11</v>
      </c>
      <c r="Q206" s="68" t="str">
        <f t="shared" si="39"/>
        <v>BUGN11</v>
      </c>
      <c r="R206" s="68" t="e">
        <f>INDEX(RankPoints!$B$4:$AK$19,$B206+1,MATCH(Results!$I206,RankPoints!$B$4:$AK$4,0))</f>
        <v>#N/A</v>
      </c>
      <c r="S206" s="68">
        <f>INDEX(RankPoints!$B$4:$AK$19,$B206+1,MATCH(Results!$J206,RankPoints!$B$4:$AK$4,0))</f>
        <v>1516</v>
      </c>
      <c r="T206" s="68">
        <f t="shared" si="40"/>
        <v>0</v>
      </c>
      <c r="U206" s="155">
        <f t="shared" si="41"/>
        <v>1</v>
      </c>
      <c r="V206" s="156" t="e">
        <f>1/(1+(10^($X206/'[1]Teams'!$F$3)))</f>
        <v>#N/A</v>
      </c>
      <c r="W206" s="157" t="e">
        <f>1/(1+(10^($Y206/'[1]Teams'!$F$3)))</f>
        <v>#N/A</v>
      </c>
      <c r="X206" s="68" t="e">
        <f t="shared" si="42"/>
        <v>#N/A</v>
      </c>
      <c r="Y206" s="155" t="e">
        <f t="shared" si="43"/>
        <v>#N/A</v>
      </c>
      <c r="Z206" s="68" t="e">
        <f>ROUND($R206+(Teams!$H$2*($T206-$V206)),0)</f>
        <v>#N/A</v>
      </c>
      <c r="AA206" s="158" t="e">
        <f>ROUND($S206+(Teams!$H$2*($U206-$W206)),0)</f>
        <v>#N/A</v>
      </c>
    </row>
    <row r="207" spans="2:27" ht="12.75">
      <c r="B207" s="158">
        <v>11</v>
      </c>
      <c r="C207" s="216" t="s">
        <v>149</v>
      </c>
      <c r="D207" s="171">
        <v>14</v>
      </c>
      <c r="E207" s="175">
        <v>15</v>
      </c>
      <c r="F207" s="221" t="s">
        <v>248</v>
      </c>
      <c r="G207" s="151" t="str">
        <f>INDEX(Teams!$B$5:$H$45,MATCH(Results!$C207,Teams!$B$5:$B$45,0),3)</f>
        <v>The Field of Industry</v>
      </c>
      <c r="H207" s="151" t="str">
        <f>INDEX(Teams!$B$5:$H$45,MATCH(Results!$C207,Teams!$B$5:$B$45,0),5)</f>
        <v>Horizon</v>
      </c>
      <c r="I207" s="152" t="str">
        <f>INDEX(Teams!$B$5:$H$45,MATCH(Results!$C207,Teams!$B$5:$B$45,0),6)</f>
        <v>USPN</v>
      </c>
      <c r="J207" s="152" t="str">
        <f>INDEX(Teams!$B$5:$H$45,MATCH(Results!$F207,Teams!$B$5:$B$45,0),6)</f>
        <v>COLD</v>
      </c>
      <c r="K207" s="69" t="str">
        <f t="shared" si="33"/>
        <v>USPNCOLD</v>
      </c>
      <c r="L207" s="68" t="str">
        <f t="shared" si="34"/>
        <v>COLD</v>
      </c>
      <c r="M207" s="68">
        <f t="shared" si="35"/>
        <v>1</v>
      </c>
      <c r="N207" s="68">
        <f t="shared" si="36"/>
        <v>1</v>
      </c>
      <c r="O207" s="68" t="str">
        <f t="shared" si="37"/>
        <v>Away</v>
      </c>
      <c r="P207" s="68" t="str">
        <f t="shared" si="38"/>
        <v>USPN11</v>
      </c>
      <c r="Q207" s="68" t="str">
        <f t="shared" si="39"/>
        <v>COLD11</v>
      </c>
      <c r="R207" s="68" t="e">
        <f>INDEX(RankPoints!$B$4:$AK$19,$B207+1,MATCH(Results!$I207,RankPoints!$B$4:$AK$4,0))</f>
        <v>#N/A</v>
      </c>
      <c r="S207" s="68">
        <f>INDEX(RankPoints!$B$4:$AK$19,$B207+1,MATCH(Results!$J207,RankPoints!$B$4:$AK$4,0))</f>
        <v>2635</v>
      </c>
      <c r="T207" s="68">
        <f t="shared" si="40"/>
        <v>0</v>
      </c>
      <c r="U207" s="155">
        <f t="shared" si="41"/>
        <v>1</v>
      </c>
      <c r="V207" s="156" t="e">
        <f>1/(1+(10^($X207/'[1]Teams'!$F$3)))</f>
        <v>#N/A</v>
      </c>
      <c r="W207" s="157" t="e">
        <f>1/(1+(10^($Y207/'[1]Teams'!$F$3)))</f>
        <v>#N/A</v>
      </c>
      <c r="X207" s="68" t="e">
        <f t="shared" si="42"/>
        <v>#N/A</v>
      </c>
      <c r="Y207" s="155" t="e">
        <f t="shared" si="43"/>
        <v>#N/A</v>
      </c>
      <c r="Z207" s="68" t="e">
        <f>ROUND($R207+(Teams!$H$2*($T207-$V207)),0)</f>
        <v>#N/A</v>
      </c>
      <c r="AA207" s="158" t="e">
        <f>ROUND($S207+(Teams!$H$2*($U207-$W207)),0)</f>
        <v>#N/A</v>
      </c>
    </row>
    <row r="208" spans="2:27" ht="12.75">
      <c r="B208" s="158">
        <v>11</v>
      </c>
      <c r="C208" s="216" t="s">
        <v>151</v>
      </c>
      <c r="D208" s="171">
        <v>14</v>
      </c>
      <c r="E208" s="175">
        <v>13</v>
      </c>
      <c r="F208" s="221" t="s">
        <v>157</v>
      </c>
      <c r="G208" s="151" t="str">
        <f>INDEX(Teams!$B$5:$H$45,MATCH(Results!$C208,Teams!$B$5:$B$45,0),3)</f>
        <v>Olympic Stadiums</v>
      </c>
      <c r="H208" s="151" t="str">
        <f>INDEX(Teams!$B$5:$H$45,MATCH(Results!$C208,Teams!$B$5:$B$45,0),5)</f>
        <v>Horizon</v>
      </c>
      <c r="I208" s="152" t="str">
        <f>INDEX(Teams!$B$5:$H$45,MATCH(Results!$C208,Teams!$B$5:$B$45,0),6)</f>
        <v>OLYM</v>
      </c>
      <c r="J208" s="152" t="str">
        <f>INDEX(Teams!$B$5:$H$45,MATCH(Results!$F208,Teams!$B$5:$B$45,0),6)</f>
        <v>WIEN</v>
      </c>
      <c r="K208" s="69" t="str">
        <f t="shared" si="33"/>
        <v>OLYMWIEN</v>
      </c>
      <c r="L208" s="68" t="str">
        <f t="shared" si="34"/>
        <v>OLYM</v>
      </c>
      <c r="M208" s="68">
        <f t="shared" si="35"/>
        <v>1</v>
      </c>
      <c r="N208" s="68">
        <f t="shared" si="36"/>
        <v>1</v>
      </c>
      <c r="O208" s="68" t="str">
        <f t="shared" si="37"/>
        <v>Home</v>
      </c>
      <c r="P208" s="68" t="str">
        <f t="shared" si="38"/>
        <v>OLYM11</v>
      </c>
      <c r="Q208" s="68" t="str">
        <f t="shared" si="39"/>
        <v>WIEN11</v>
      </c>
      <c r="R208" s="68" t="e">
        <f>INDEX(RankPoints!$B$4:$AK$19,$B208+1,MATCH(Results!$I208,RankPoints!$B$4:$AK$4,0))</f>
        <v>#N/A</v>
      </c>
      <c r="S208" s="68" t="e">
        <f>INDEX(RankPoints!$B$4:$AK$19,$B208+1,MATCH(Results!$J208,RankPoints!$B$4:$AK$4,0))</f>
        <v>#N/A</v>
      </c>
      <c r="T208" s="68">
        <f t="shared" si="40"/>
        <v>1</v>
      </c>
      <c r="U208" s="155">
        <f t="shared" si="41"/>
        <v>0</v>
      </c>
      <c r="V208" s="156" t="e">
        <f>1/(1+(10^($X208/'[1]Teams'!$F$3)))</f>
        <v>#N/A</v>
      </c>
      <c r="W208" s="157" t="e">
        <f>1/(1+(10^($Y208/'[1]Teams'!$F$3)))</f>
        <v>#N/A</v>
      </c>
      <c r="X208" s="68" t="e">
        <f t="shared" si="42"/>
        <v>#N/A</v>
      </c>
      <c r="Y208" s="155" t="e">
        <f t="shared" si="43"/>
        <v>#N/A</v>
      </c>
      <c r="Z208" s="68" t="e">
        <f>ROUND($R208+(Teams!$H$2*($T208-$V208)),0)</f>
        <v>#N/A</v>
      </c>
      <c r="AA208" s="158" t="e">
        <f>ROUND($S208+(Teams!$H$2*($U208-$W208)),0)</f>
        <v>#N/A</v>
      </c>
    </row>
    <row r="209" spans="2:27" ht="12.75">
      <c r="B209" s="158">
        <v>11</v>
      </c>
      <c r="C209" s="216" t="s">
        <v>21</v>
      </c>
      <c r="D209" s="171">
        <v>29</v>
      </c>
      <c r="E209" s="175">
        <v>10</v>
      </c>
      <c r="F209" s="221" t="s">
        <v>145</v>
      </c>
      <c r="G209" s="151" t="str">
        <f>INDEX(Teams!$B$5:$H$45,MATCH(Results!$C209,Teams!$B$5:$B$45,0),3)</f>
        <v>Finglass Field</v>
      </c>
      <c r="H209" s="151" t="str">
        <f>INDEX(Teams!$B$5:$H$45,MATCH(Results!$C209,Teams!$B$5:$B$45,0),5)</f>
        <v>Horizon</v>
      </c>
      <c r="I209" s="152" t="str">
        <f>INDEX(Teams!$B$5:$H$45,MATCH(Results!$C209,Teams!$B$5:$B$45,0),6)</f>
        <v>STON</v>
      </c>
      <c r="J209" s="152" t="str">
        <f>INDEX(Teams!$B$5:$H$45,MATCH(Results!$F209,Teams!$B$5:$B$45,0),6)</f>
        <v>INDN</v>
      </c>
      <c r="K209" s="69" t="str">
        <f t="shared" si="33"/>
        <v>STONINDN</v>
      </c>
      <c r="L209" s="68" t="str">
        <f t="shared" si="34"/>
        <v>STON</v>
      </c>
      <c r="M209" s="68">
        <f t="shared" si="35"/>
        <v>1</v>
      </c>
      <c r="N209" s="68">
        <f t="shared" si="36"/>
        <v>19</v>
      </c>
      <c r="O209" s="68" t="str">
        <f t="shared" si="37"/>
        <v>Home</v>
      </c>
      <c r="P209" s="68" t="str">
        <f t="shared" si="38"/>
        <v>STON11</v>
      </c>
      <c r="Q209" s="68" t="str">
        <f t="shared" si="39"/>
        <v>INDN11</v>
      </c>
      <c r="R209" s="68">
        <f>INDEX(RankPoints!$B$4:$AK$19,$B209+1,MATCH(Results!$I209,RankPoints!$B$4:$AK$4,0))</f>
        <v>2850</v>
      </c>
      <c r="S209" s="68" t="e">
        <f>INDEX(RankPoints!$B$4:$AK$19,$B209+1,MATCH(Results!$J209,RankPoints!$B$4:$AK$4,0))</f>
        <v>#N/A</v>
      </c>
      <c r="T209" s="68">
        <f t="shared" si="40"/>
        <v>1</v>
      </c>
      <c r="U209" s="155">
        <f t="shared" si="41"/>
        <v>0</v>
      </c>
      <c r="V209" s="156" t="e">
        <f>1/(1+(10^($X209/'[1]Teams'!$F$3)))</f>
        <v>#N/A</v>
      </c>
      <c r="W209" s="157" t="e">
        <f>1/(1+(10^($Y209/'[1]Teams'!$F$3)))</f>
        <v>#N/A</v>
      </c>
      <c r="X209" s="68" t="e">
        <f t="shared" si="42"/>
        <v>#N/A</v>
      </c>
      <c r="Y209" s="155" t="e">
        <f t="shared" si="43"/>
        <v>#N/A</v>
      </c>
      <c r="Z209" s="68" t="e">
        <f>ROUND($R209+(Teams!$H$2*($T209-$V209)),0)</f>
        <v>#N/A</v>
      </c>
      <c r="AA209" s="158" t="e">
        <f>ROUND($S209+(Teams!$H$2*($U209-$W209)),0)</f>
        <v>#N/A</v>
      </c>
    </row>
    <row r="210" spans="2:27" ht="12.75">
      <c r="B210" s="158">
        <v>11</v>
      </c>
      <c r="C210" s="216" t="s">
        <v>153</v>
      </c>
      <c r="D210" s="171">
        <v>0</v>
      </c>
      <c r="E210" s="175">
        <v>30</v>
      </c>
      <c r="F210" s="221" t="s">
        <v>20</v>
      </c>
      <c r="G210" s="151" t="str">
        <f>INDEX(Teams!$B$5:$H$45,MATCH(Results!$C210,Teams!$B$5:$B$45,0),3)</f>
        <v>Cheikanwa Stadium</v>
      </c>
      <c r="H210" s="151" t="str">
        <f>INDEX(Teams!$B$5:$H$45,MATCH(Results!$C210,Teams!$B$5:$B$45,0),5)</f>
        <v>Horizon</v>
      </c>
      <c r="I210" s="152" t="str">
        <f>INDEX(Teams!$B$5:$H$45,MATCH(Results!$C210,Teams!$B$5:$B$45,0),6)</f>
        <v>RSTU</v>
      </c>
      <c r="J210" s="152" t="str">
        <f>INDEX(Teams!$B$5:$H$45,MATCH(Results!$F210,Teams!$B$5:$B$45,0),6)</f>
        <v>RCU</v>
      </c>
      <c r="K210" s="69" t="str">
        <f t="shared" si="33"/>
        <v>RSTURCU</v>
      </c>
      <c r="L210" s="68" t="str">
        <f t="shared" si="34"/>
        <v>RCU</v>
      </c>
      <c r="M210" s="68">
        <f t="shared" si="35"/>
        <v>1</v>
      </c>
      <c r="N210" s="68">
        <f t="shared" si="36"/>
        <v>30</v>
      </c>
      <c r="O210" s="68" t="str">
        <f t="shared" si="37"/>
        <v>Away</v>
      </c>
      <c r="P210" s="68" t="str">
        <f t="shared" si="38"/>
        <v>RSTU11</v>
      </c>
      <c r="Q210" s="68" t="str">
        <f t="shared" si="39"/>
        <v>RCU11</v>
      </c>
      <c r="R210" s="68" t="e">
        <f>INDEX(RankPoints!$B$4:$AK$19,$B210+1,MATCH(Results!$I210,RankPoints!$B$4:$AK$4,0))</f>
        <v>#N/A</v>
      </c>
      <c r="S210" s="68">
        <f>INDEX(RankPoints!$B$4:$AK$19,$B210+1,MATCH(Results!$J210,RankPoints!$B$4:$AK$4,0))</f>
        <v>-1287</v>
      </c>
      <c r="T210" s="68">
        <f t="shared" si="40"/>
        <v>0</v>
      </c>
      <c r="U210" s="155">
        <f t="shared" si="41"/>
        <v>1</v>
      </c>
      <c r="V210" s="156" t="e">
        <f>1/(1+(10^($X210/'[1]Teams'!$F$3)))</f>
        <v>#N/A</v>
      </c>
      <c r="W210" s="157" t="e">
        <f>1/(1+(10^($Y210/'[1]Teams'!$F$3)))</f>
        <v>#N/A</v>
      </c>
      <c r="X210" s="68" t="e">
        <f t="shared" si="42"/>
        <v>#N/A</v>
      </c>
      <c r="Y210" s="155" t="e">
        <f t="shared" si="43"/>
        <v>#N/A</v>
      </c>
      <c r="Z210" s="68" t="e">
        <f>ROUND($R210+(Teams!$H$2*($T210-$V210)),0)</f>
        <v>#N/A</v>
      </c>
      <c r="AA210" s="158" t="e">
        <f>ROUND($S210+(Teams!$H$2*($U210-$W210)),0)</f>
        <v>#N/A</v>
      </c>
    </row>
    <row r="211" spans="2:27" ht="12.75">
      <c r="B211" s="158">
        <v>11</v>
      </c>
      <c r="C211" s="216" t="s">
        <v>146</v>
      </c>
      <c r="D211" s="171">
        <v>24</v>
      </c>
      <c r="E211" s="175">
        <v>20</v>
      </c>
      <c r="F211" s="221" t="s">
        <v>121</v>
      </c>
      <c r="G211" s="151" t="str">
        <f>INDEX(Teams!$B$5:$H$45,MATCH(Results!$C211,Teams!$B$5:$B$45,0),3)</f>
        <v>Bryan-Hall Stadium</v>
      </c>
      <c r="H211" s="151" t="str">
        <f>INDEX(Teams!$B$5:$H$45,MATCH(Results!$C211,Teams!$B$5:$B$45,0),5)</f>
        <v>Mineral</v>
      </c>
      <c r="I211" s="152" t="str">
        <f>INDEX(Teams!$B$5:$H$45,MATCH(Results!$C211,Teams!$B$5:$B$45,0),6)</f>
        <v>WSIT</v>
      </c>
      <c r="J211" s="152" t="str">
        <f>INDEX(Teams!$B$5:$H$45,MATCH(Results!$F211,Teams!$B$5:$B$45,0),6)</f>
        <v>CRGA</v>
      </c>
      <c r="K211" s="69" t="str">
        <f t="shared" si="33"/>
        <v>WSITCRGA</v>
      </c>
      <c r="L211" s="68" t="str">
        <f t="shared" si="34"/>
        <v>WSIT</v>
      </c>
      <c r="M211" s="68">
        <f t="shared" si="35"/>
        <v>1</v>
      </c>
      <c r="N211" s="68">
        <f t="shared" si="36"/>
        <v>4</v>
      </c>
      <c r="O211" s="68" t="str">
        <f t="shared" si="37"/>
        <v>Home</v>
      </c>
      <c r="P211" s="68" t="str">
        <f t="shared" si="38"/>
        <v>WSIT11</v>
      </c>
      <c r="Q211" s="68" t="str">
        <f t="shared" si="39"/>
        <v>CRGA11</v>
      </c>
      <c r="R211" s="68" t="e">
        <f>INDEX(RankPoints!$B$4:$AK$19,$B211+1,MATCH(Results!$I211,RankPoints!$B$4:$AK$4,0))</f>
        <v>#N/A</v>
      </c>
      <c r="S211" s="68" t="e">
        <f>INDEX(RankPoints!$B$4:$AK$19,$B211+1,MATCH(Results!$J211,RankPoints!$B$4:$AK$4,0))</f>
        <v>#N/A</v>
      </c>
      <c r="T211" s="68">
        <f t="shared" si="40"/>
        <v>1</v>
      </c>
      <c r="U211" s="155">
        <f t="shared" si="41"/>
        <v>0</v>
      </c>
      <c r="V211" s="156" t="e">
        <f>1/(1+(10^($X211/'[1]Teams'!$F$3)))</f>
        <v>#N/A</v>
      </c>
      <c r="W211" s="157" t="e">
        <f>1/(1+(10^($Y211/'[1]Teams'!$F$3)))</f>
        <v>#N/A</v>
      </c>
      <c r="X211" s="68" t="e">
        <f t="shared" si="42"/>
        <v>#N/A</v>
      </c>
      <c r="Y211" s="155" t="e">
        <f t="shared" si="43"/>
        <v>#N/A</v>
      </c>
      <c r="Z211" s="68" t="e">
        <f>ROUND($R211+(Teams!$H$2*($T211-$V211)),0)</f>
        <v>#N/A</v>
      </c>
      <c r="AA211" s="158" t="e">
        <f>ROUND($S211+(Teams!$H$2*($U211-$W211)),0)</f>
        <v>#N/A</v>
      </c>
    </row>
    <row r="212" spans="2:27" ht="12.75">
      <c r="B212" s="158">
        <v>11</v>
      </c>
      <c r="C212" s="218" t="s">
        <v>251</v>
      </c>
      <c r="D212" s="172">
        <v>0</v>
      </c>
      <c r="E212" s="176">
        <v>24</v>
      </c>
      <c r="F212" s="223" t="s">
        <v>80</v>
      </c>
      <c r="G212" s="179" t="str">
        <f>INDEX(Teams!$B$5:$H$45,MATCH(Results!$C212,Teams!$B$5:$B$45,0),3)</f>
        <v>The Nest of Fire</v>
      </c>
      <c r="H212" s="179" t="str">
        <f>INDEX(Teams!$B$5:$H$45,MATCH(Results!$C212,Teams!$B$5:$B$45,0),5)</f>
        <v>Mineral</v>
      </c>
      <c r="I212" s="152" t="str">
        <f>INDEX(Teams!$B$5:$H$45,MATCH(Results!$C212,Teams!$B$5:$B$45,0),6)</f>
        <v>HRLP</v>
      </c>
      <c r="J212" s="152" t="str">
        <f>INDEX(Teams!$B$5:$H$45,MATCH(Results!$F212,Teams!$B$5:$B$45,0),6)</f>
        <v>OCSU</v>
      </c>
      <c r="K212" s="69" t="str">
        <f t="shared" si="33"/>
        <v>HRLPOCSU</v>
      </c>
      <c r="L212" s="68" t="str">
        <f t="shared" si="34"/>
        <v>OCSU</v>
      </c>
      <c r="M212" s="68">
        <f t="shared" si="35"/>
        <v>1</v>
      </c>
      <c r="N212" s="68">
        <f t="shared" si="36"/>
        <v>24</v>
      </c>
      <c r="O212" s="68" t="str">
        <f t="shared" si="37"/>
        <v>Away</v>
      </c>
      <c r="P212" s="68" t="str">
        <f t="shared" si="38"/>
        <v>HRLP11</v>
      </c>
      <c r="Q212" s="68" t="str">
        <f t="shared" si="39"/>
        <v>OCSU11</v>
      </c>
      <c r="R212" s="68" t="e">
        <f>INDEX(RankPoints!$B$4:$AK$19,$B212+1,MATCH(Results!$I212,RankPoints!$B$4:$AK$4,0))</f>
        <v>#N/A</v>
      </c>
      <c r="S212" s="68">
        <f>INDEX(RankPoints!$B$4:$AK$19,$B212+1,MATCH(Results!$J212,RankPoints!$B$4:$AK$4,0))</f>
        <v>-1516</v>
      </c>
      <c r="T212" s="68">
        <f t="shared" si="40"/>
        <v>0</v>
      </c>
      <c r="U212" s="155">
        <f t="shared" si="41"/>
        <v>1</v>
      </c>
      <c r="V212" s="156" t="e">
        <f>1/(1+(10^($X212/'[1]Teams'!$F$3)))</f>
        <v>#N/A</v>
      </c>
      <c r="W212" s="157" t="e">
        <f>1/(1+(10^($Y212/'[1]Teams'!$F$3)))</f>
        <v>#N/A</v>
      </c>
      <c r="X212" s="68" t="e">
        <f t="shared" si="42"/>
        <v>#N/A</v>
      </c>
      <c r="Y212" s="155" t="e">
        <f t="shared" si="43"/>
        <v>#N/A</v>
      </c>
      <c r="Z212" s="68" t="e">
        <f>ROUND($R212+(Teams!$H$2*($T212-$V212)),0)</f>
        <v>#N/A</v>
      </c>
      <c r="AA212" s="158" t="e">
        <f>ROUND($S212+(Teams!$H$2*($U212-$W212)),0)</f>
        <v>#N/A</v>
      </c>
    </row>
    <row r="213" spans="2:27" ht="12.75">
      <c r="B213" s="158">
        <v>11</v>
      </c>
      <c r="C213" s="218" t="s">
        <v>266</v>
      </c>
      <c r="D213" s="172">
        <v>37</v>
      </c>
      <c r="E213" s="176">
        <v>7</v>
      </c>
      <c r="F213" s="223" t="s">
        <v>156</v>
      </c>
      <c r="G213" s="179" t="str">
        <f>INDEX(Teams!$B$5:$H$45,MATCH(Results!$C213,Teams!$B$5:$B$45,0),3)</f>
        <v>ATD Park</v>
      </c>
      <c r="H213" s="179" t="str">
        <f>INDEX(Teams!$B$5:$H$45,MATCH(Results!$C213,Teams!$B$5:$B$45,0),5)</f>
        <v>Mineral</v>
      </c>
      <c r="I213" s="152" t="str">
        <f>INDEX(Teams!$B$5:$H$45,MATCH(Results!$C213,Teams!$B$5:$B$45,0),6)</f>
        <v>UPSL</v>
      </c>
      <c r="J213" s="152" t="str">
        <f>INDEX(Teams!$B$5:$H$45,MATCH(Results!$F213,Teams!$B$5:$B$45,0),6)</f>
        <v>BLUE</v>
      </c>
      <c r="K213" s="69" t="str">
        <f t="shared" si="33"/>
        <v>UPSLBLUE</v>
      </c>
      <c r="L213" s="68" t="str">
        <f t="shared" si="34"/>
        <v>UPSL</v>
      </c>
      <c r="M213" s="68">
        <f t="shared" si="35"/>
        <v>1</v>
      </c>
      <c r="N213" s="68">
        <f t="shared" si="36"/>
        <v>30</v>
      </c>
      <c r="O213" s="68" t="str">
        <f t="shared" si="37"/>
        <v>Home</v>
      </c>
      <c r="P213" s="68" t="str">
        <f t="shared" si="38"/>
        <v>UPSL11</v>
      </c>
      <c r="Q213" s="68" t="str">
        <f t="shared" si="39"/>
        <v>BLUE11</v>
      </c>
      <c r="R213" s="68">
        <f>INDEX(RankPoints!$B$4:$AK$19,$B213+1,MATCH(Results!$I213,RankPoints!$B$4:$AK$4,0))</f>
        <v>1516</v>
      </c>
      <c r="S213" s="68" t="e">
        <f>INDEX(RankPoints!$B$4:$AK$19,$B213+1,MATCH(Results!$J213,RankPoints!$B$4:$AK$4,0))</f>
        <v>#N/A</v>
      </c>
      <c r="T213" s="68">
        <f t="shared" si="40"/>
        <v>1</v>
      </c>
      <c r="U213" s="155">
        <f t="shared" si="41"/>
        <v>0</v>
      </c>
      <c r="V213" s="156" t="e">
        <f>1/(1+(10^($X213/'[1]Teams'!$F$3)))</f>
        <v>#N/A</v>
      </c>
      <c r="W213" s="157" t="e">
        <f>1/(1+(10^($Y213/'[1]Teams'!$F$3)))</f>
        <v>#N/A</v>
      </c>
      <c r="X213" s="68" t="e">
        <f t="shared" si="42"/>
        <v>#N/A</v>
      </c>
      <c r="Y213" s="155" t="e">
        <f t="shared" si="43"/>
        <v>#N/A</v>
      </c>
      <c r="Z213" s="68" t="e">
        <f>ROUND($R213+(Teams!$H$2*($T213-$V213)),0)</f>
        <v>#N/A</v>
      </c>
      <c r="AA213" s="158" t="e">
        <f>ROUND($S213+(Teams!$H$2*($U213-$W213)),0)</f>
        <v>#N/A</v>
      </c>
    </row>
    <row r="214" spans="2:27" ht="12.75">
      <c r="B214" s="158">
        <v>11</v>
      </c>
      <c r="C214" s="218" t="s">
        <v>150</v>
      </c>
      <c r="D214" s="172">
        <v>16</v>
      </c>
      <c r="E214" s="176">
        <v>17</v>
      </c>
      <c r="F214" s="223" t="s">
        <v>155</v>
      </c>
      <c r="G214" s="179" t="str">
        <f>INDEX(Teams!$B$5:$H$45,MATCH(Results!$C214,Teams!$B$5:$B$45,0),3)</f>
        <v>Roger Jalston Memorial Stadium</v>
      </c>
      <c r="H214" s="179" t="str">
        <f>INDEX(Teams!$B$5:$H$45,MATCH(Results!$C214,Teams!$B$5:$B$45,0),5)</f>
        <v>Mineral</v>
      </c>
      <c r="I214" s="152" t="str">
        <f>INDEX(Teams!$B$5:$H$45,MATCH(Results!$C214,Teams!$B$5:$B$45,0),6)</f>
        <v>RICH</v>
      </c>
      <c r="J214" s="152" t="str">
        <f>INDEX(Teams!$B$5:$H$45,MATCH(Results!$F214,Teams!$B$5:$B$45,0),6)</f>
        <v>EKIL</v>
      </c>
      <c r="K214" s="69" t="str">
        <f t="shared" si="33"/>
        <v>RICHEKIL</v>
      </c>
      <c r="L214" s="68" t="str">
        <f t="shared" si="34"/>
        <v>EKIL</v>
      </c>
      <c r="M214" s="68">
        <f t="shared" si="35"/>
        <v>1</v>
      </c>
      <c r="N214" s="68">
        <f t="shared" si="36"/>
        <v>1</v>
      </c>
      <c r="O214" s="68" t="str">
        <f t="shared" si="37"/>
        <v>Away</v>
      </c>
      <c r="P214" s="68" t="str">
        <f t="shared" si="38"/>
        <v>RICH11</v>
      </c>
      <c r="Q214" s="68" t="str">
        <f t="shared" si="39"/>
        <v>EKIL11</v>
      </c>
      <c r="R214" s="68" t="e">
        <f>INDEX(RankPoints!$B$4:$AK$19,$B214+1,MATCH(Results!$I214,RankPoints!$B$4:$AK$4,0))</f>
        <v>#N/A</v>
      </c>
      <c r="S214" s="68" t="e">
        <f>INDEX(RankPoints!$B$4:$AK$19,$B214+1,MATCH(Results!$J214,RankPoints!$B$4:$AK$4,0))</f>
        <v>#N/A</v>
      </c>
      <c r="T214" s="68">
        <f t="shared" si="40"/>
        <v>0</v>
      </c>
      <c r="U214" s="155">
        <f t="shared" si="41"/>
        <v>1</v>
      </c>
      <c r="V214" s="156" t="e">
        <f>1/(1+(10^($X214/'[1]Teams'!$F$3)))</f>
        <v>#N/A</v>
      </c>
      <c r="W214" s="157" t="e">
        <f>1/(1+(10^($Y214/'[1]Teams'!$F$3)))</f>
        <v>#N/A</v>
      </c>
      <c r="X214" s="68" t="e">
        <f t="shared" si="42"/>
        <v>#N/A</v>
      </c>
      <c r="Y214" s="155" t="e">
        <f t="shared" si="43"/>
        <v>#N/A</v>
      </c>
      <c r="Z214" s="68" t="e">
        <f>ROUND($R214+(Teams!$H$2*($T214-$V214)),0)</f>
        <v>#N/A</v>
      </c>
      <c r="AA214" s="158" t="e">
        <f>ROUND($S214+(Teams!$H$2*($U214-$W214)),0)</f>
        <v>#N/A</v>
      </c>
    </row>
    <row r="215" spans="2:27" ht="12.75">
      <c r="B215" s="158">
        <v>11</v>
      </c>
      <c r="C215" s="218" t="s">
        <v>111</v>
      </c>
      <c r="D215" s="172">
        <v>6</v>
      </c>
      <c r="E215" s="176">
        <v>20</v>
      </c>
      <c r="F215" s="223" t="s">
        <v>269</v>
      </c>
      <c r="G215" s="179" t="str">
        <f>INDEX(Teams!$B$5:$H$45,MATCH(Results!$C215,Teams!$B$5:$B$45,0),3)</f>
        <v>Welcome City Stadium</v>
      </c>
      <c r="H215" s="179" t="str">
        <f>INDEX(Teams!$B$5:$H$45,MATCH(Results!$C215,Teams!$B$5:$B$45,0),5)</f>
        <v>Sequoia</v>
      </c>
      <c r="I215" s="152" t="str">
        <f>INDEX(Teams!$B$5:$H$45,MATCH(Results!$C215,Teams!$B$5:$B$45,0),6)</f>
        <v>NRDN</v>
      </c>
      <c r="J215" s="152" t="str">
        <f>INDEX(Teams!$B$5:$H$45,MATCH(Results!$F215,Teams!$B$5:$B$45,0),6)</f>
        <v>STJN</v>
      </c>
      <c r="K215" s="69" t="str">
        <f t="shared" si="33"/>
        <v>NRDNSTJN</v>
      </c>
      <c r="L215" s="68" t="str">
        <f t="shared" si="34"/>
        <v>STJN</v>
      </c>
      <c r="M215" s="68">
        <f t="shared" si="35"/>
        <v>1</v>
      </c>
      <c r="N215" s="68">
        <f t="shared" si="36"/>
        <v>14</v>
      </c>
      <c r="O215" s="68" t="str">
        <f t="shared" si="37"/>
        <v>Away</v>
      </c>
      <c r="P215" s="68" t="str">
        <f t="shared" si="38"/>
        <v>NRDN11</v>
      </c>
      <c r="Q215" s="68" t="str">
        <f t="shared" si="39"/>
        <v>STJN11</v>
      </c>
      <c r="R215" s="68">
        <f>INDEX(RankPoints!$B$4:$AK$19,$B215+1,MATCH(Results!$I215,RankPoints!$B$4:$AK$4,0))</f>
        <v>3212</v>
      </c>
      <c r="S215" s="68">
        <f>INDEX(RankPoints!$B$4:$AK$19,$B215+1,MATCH(Results!$J215,RankPoints!$B$4:$AK$4,0))</f>
        <v>-3093</v>
      </c>
      <c r="T215" s="68">
        <f t="shared" si="40"/>
        <v>0</v>
      </c>
      <c r="U215" s="155">
        <f t="shared" si="41"/>
        <v>1</v>
      </c>
      <c r="V215" s="156">
        <f>1/(1+(10^($X215/'[1]Teams'!$F$3)))</f>
        <v>1.7278259805078652E-16</v>
      </c>
      <c r="W215" s="157">
        <f>1/(1+(10^($Y215/'[1]Teams'!$F$3)))</f>
        <v>0.9999999999999998</v>
      </c>
      <c r="X215" s="68">
        <f t="shared" si="42"/>
        <v>6305</v>
      </c>
      <c r="Y215" s="155">
        <f t="shared" si="43"/>
        <v>-6305</v>
      </c>
      <c r="Z215" s="68">
        <f>ROUND($R215+(Teams!$H$2*($T215-$V215)),0)</f>
        <v>3212</v>
      </c>
      <c r="AA215" s="158">
        <f>ROUND($S215+(Teams!$H$2*($U215-$W215)),0)</f>
        <v>-3093</v>
      </c>
    </row>
    <row r="216" spans="2:27" ht="12.75">
      <c r="B216" s="158">
        <v>11</v>
      </c>
      <c r="C216" s="218" t="s">
        <v>119</v>
      </c>
      <c r="D216" s="172">
        <v>3</v>
      </c>
      <c r="E216" s="176">
        <v>21</v>
      </c>
      <c r="F216" s="223" t="s">
        <v>79</v>
      </c>
      <c r="G216" s="179" t="str">
        <f>INDEX(Teams!$B$5:$H$45,MATCH(Results!$C216,Teams!$B$5:$B$45,0),3)</f>
        <v>Parah Dome</v>
      </c>
      <c r="H216" s="179" t="str">
        <f>INDEX(Teams!$B$5:$H$45,MATCH(Results!$C216,Teams!$B$5:$B$45,0),5)</f>
        <v>Sequoia</v>
      </c>
      <c r="I216" s="152" t="str">
        <f>INDEX(Teams!$B$5:$H$45,MATCH(Results!$C216,Teams!$B$5:$B$45,0),6)</f>
        <v>NETT</v>
      </c>
      <c r="J216" s="152" t="str">
        <f>INDEX(Teams!$B$5:$H$45,MATCH(Results!$F216,Teams!$B$5:$B$45,0),6)</f>
        <v>RVMD</v>
      </c>
      <c r="K216" s="69" t="str">
        <f t="shared" si="33"/>
        <v>NETTRVMD</v>
      </c>
      <c r="L216" s="68" t="str">
        <f t="shared" si="34"/>
        <v>RVMD</v>
      </c>
      <c r="M216" s="68">
        <f t="shared" si="35"/>
        <v>1</v>
      </c>
      <c r="N216" s="68">
        <f t="shared" si="36"/>
        <v>18</v>
      </c>
      <c r="O216" s="68" t="str">
        <f t="shared" si="37"/>
        <v>Away</v>
      </c>
      <c r="P216" s="68" t="str">
        <f t="shared" si="38"/>
        <v>NETT11</v>
      </c>
      <c r="Q216" s="68" t="str">
        <f t="shared" si="39"/>
        <v>RVMD11</v>
      </c>
      <c r="R216" s="68" t="e">
        <f>INDEX(RankPoints!$B$4:$AK$19,$B216+1,MATCH(Results!$I216,RankPoints!$B$4:$AK$4,0))</f>
        <v>#N/A</v>
      </c>
      <c r="S216" s="68">
        <f>INDEX(RankPoints!$B$4:$AK$19,$B216+1,MATCH(Results!$J216,RankPoints!$B$4:$AK$4,0))</f>
        <v>-2972</v>
      </c>
      <c r="T216" s="68">
        <f t="shared" si="40"/>
        <v>0</v>
      </c>
      <c r="U216" s="155">
        <f t="shared" si="41"/>
        <v>1</v>
      </c>
      <c r="V216" s="156" t="e">
        <f>1/(1+(10^($X216/'[1]Teams'!$F$3)))</f>
        <v>#N/A</v>
      </c>
      <c r="W216" s="157" t="e">
        <f>1/(1+(10^($Y216/'[1]Teams'!$F$3)))</f>
        <v>#N/A</v>
      </c>
      <c r="X216" s="68" t="e">
        <f t="shared" si="42"/>
        <v>#N/A</v>
      </c>
      <c r="Y216" s="155" t="e">
        <f t="shared" si="43"/>
        <v>#N/A</v>
      </c>
      <c r="Z216" s="68" t="e">
        <f>ROUND($R216+(Teams!$H$2*($T216-$V216)),0)</f>
        <v>#N/A</v>
      </c>
      <c r="AA216" s="158" t="e">
        <f>ROUND($S216+(Teams!$H$2*($U216-$W216)),0)</f>
        <v>#N/A</v>
      </c>
    </row>
    <row r="217" spans="2:27" ht="12.75">
      <c r="B217" s="158">
        <v>11</v>
      </c>
      <c r="C217" s="218" t="s">
        <v>112</v>
      </c>
      <c r="D217" s="172">
        <v>40</v>
      </c>
      <c r="E217" s="176">
        <v>0</v>
      </c>
      <c r="F217" s="223" t="s">
        <v>265</v>
      </c>
      <c r="G217" s="179" t="str">
        <f>INDEX(Teams!$B$5:$H$45,MATCH(Results!$C217,Teams!$B$5:$B$45,0),3)</f>
        <v>George Litchko Stadium</v>
      </c>
      <c r="H217" s="179" t="str">
        <f>INDEX(Teams!$B$5:$H$45,MATCH(Results!$C217,Teams!$B$5:$B$45,0),5)</f>
        <v>Sequoia</v>
      </c>
      <c r="I217" s="152" t="str">
        <f>INDEX(Teams!$B$5:$H$45,MATCH(Results!$C217,Teams!$B$5:$B$45,0),6)</f>
        <v>FHST</v>
      </c>
      <c r="J217" s="152" t="str">
        <f>INDEX(Teams!$B$5:$H$45,MATCH(Results!$F217,Teams!$B$5:$B$45,0),6)</f>
        <v>ACSP</v>
      </c>
      <c r="K217" s="69" t="str">
        <f t="shared" si="33"/>
        <v>FHSTACSP</v>
      </c>
      <c r="L217" s="68" t="str">
        <f t="shared" si="34"/>
        <v>FHST</v>
      </c>
      <c r="M217" s="68">
        <f t="shared" si="35"/>
        <v>1</v>
      </c>
      <c r="N217" s="68">
        <f t="shared" si="36"/>
        <v>40</v>
      </c>
      <c r="O217" s="68" t="str">
        <f t="shared" si="37"/>
        <v>Home</v>
      </c>
      <c r="P217" s="68" t="str">
        <f t="shared" si="38"/>
        <v>FHST11</v>
      </c>
      <c r="Q217" s="68" t="str">
        <f t="shared" si="39"/>
        <v>ACSP11</v>
      </c>
      <c r="R217" s="68">
        <f>INDEX(RankPoints!$B$4:$AK$19,$B217+1,MATCH(Results!$I217,RankPoints!$B$4:$AK$4,0))</f>
        <v>-104</v>
      </c>
      <c r="S217" s="68" t="e">
        <f>INDEX(RankPoints!$B$4:$AK$19,$B217+1,MATCH(Results!$J217,RankPoints!$B$4:$AK$4,0))</f>
        <v>#N/A</v>
      </c>
      <c r="T217" s="68">
        <f t="shared" si="40"/>
        <v>1</v>
      </c>
      <c r="U217" s="155">
        <f t="shared" si="41"/>
        <v>0</v>
      </c>
      <c r="V217" s="156" t="e">
        <f>1/(1+(10^($X217/'[1]Teams'!$F$3)))</f>
        <v>#N/A</v>
      </c>
      <c r="W217" s="157" t="e">
        <f>1/(1+(10^($Y217/'[1]Teams'!$F$3)))</f>
        <v>#N/A</v>
      </c>
      <c r="X217" s="68" t="e">
        <f t="shared" si="42"/>
        <v>#N/A</v>
      </c>
      <c r="Y217" s="155" t="e">
        <f t="shared" si="43"/>
        <v>#N/A</v>
      </c>
      <c r="Z217" s="68" t="e">
        <f>ROUND($R217+(Teams!$H$2*($T217-$V217)),0)</f>
        <v>#N/A</v>
      </c>
      <c r="AA217" s="158" t="e">
        <f>ROUND($S217+(Teams!$H$2*($U217-$W217)),0)</f>
        <v>#N/A</v>
      </c>
    </row>
    <row r="218" spans="2:27" ht="12.75">
      <c r="B218" s="158">
        <v>11</v>
      </c>
      <c r="C218" s="218" t="s">
        <v>19</v>
      </c>
      <c r="D218" s="172">
        <v>14</v>
      </c>
      <c r="E218" s="176">
        <v>0</v>
      </c>
      <c r="F218" s="223" t="s">
        <v>117</v>
      </c>
      <c r="G218" s="179" t="str">
        <f>INDEX(Teams!$B$5:$H$45,MATCH(Results!$C218,Teams!$B$5:$B$45,0),3)</f>
        <v>Tiegemburg Park</v>
      </c>
      <c r="H218" s="179" t="str">
        <f>INDEX(Teams!$B$5:$H$45,MATCH(Results!$C218,Teams!$B$5:$B$45,0),5)</f>
        <v>Sequoia</v>
      </c>
      <c r="I218" s="152" t="str">
        <f>INDEX(Teams!$B$5:$H$45,MATCH(Results!$C218,Teams!$B$5:$B$45,0),6)</f>
        <v>ALZD</v>
      </c>
      <c r="J218" s="152" t="str">
        <f>INDEX(Teams!$B$5:$H$45,MATCH(Results!$F218,Teams!$B$5:$B$45,0),6)</f>
        <v>ALUT</v>
      </c>
      <c r="K218" s="69" t="str">
        <f t="shared" si="33"/>
        <v>ALZDALUT</v>
      </c>
      <c r="L218" s="68" t="str">
        <f t="shared" si="34"/>
        <v>ALZD</v>
      </c>
      <c r="M218" s="68">
        <f t="shared" si="35"/>
        <v>1</v>
      </c>
      <c r="N218" s="68">
        <f t="shared" si="36"/>
        <v>14</v>
      </c>
      <c r="O218" s="68" t="str">
        <f t="shared" si="37"/>
        <v>Home</v>
      </c>
      <c r="P218" s="68" t="str">
        <f t="shared" si="38"/>
        <v>ALZD11</v>
      </c>
      <c r="Q218" s="68" t="str">
        <f t="shared" si="39"/>
        <v>ALUT11</v>
      </c>
      <c r="R218" s="68">
        <f>INDEX(RankPoints!$B$4:$AK$19,$B218+1,MATCH(Results!$I218,RankPoints!$B$4:$AK$4,0))</f>
        <v>1583</v>
      </c>
      <c r="S218" s="68" t="e">
        <f>INDEX(RankPoints!$B$4:$AK$19,$B218+1,MATCH(Results!$J218,RankPoints!$B$4:$AK$4,0))</f>
        <v>#N/A</v>
      </c>
      <c r="T218" s="68">
        <f t="shared" si="40"/>
        <v>1</v>
      </c>
      <c r="U218" s="155">
        <f t="shared" si="41"/>
        <v>0</v>
      </c>
      <c r="V218" s="156" t="e">
        <f>1/(1+(10^($X218/'[1]Teams'!$F$3)))</f>
        <v>#N/A</v>
      </c>
      <c r="W218" s="157" t="e">
        <f>1/(1+(10^($Y218/'[1]Teams'!$F$3)))</f>
        <v>#N/A</v>
      </c>
      <c r="X218" s="68" t="e">
        <f t="shared" si="42"/>
        <v>#N/A</v>
      </c>
      <c r="Y218" s="155" t="e">
        <f t="shared" si="43"/>
        <v>#N/A</v>
      </c>
      <c r="Z218" s="68" t="e">
        <f>ROUND($R218+(Teams!$H$2*($T218-$V218)),0)</f>
        <v>#N/A</v>
      </c>
      <c r="AA218" s="158" t="e">
        <f>ROUND($S218+(Teams!$H$2*($U218-$W218)),0)</f>
        <v>#N/A</v>
      </c>
    </row>
    <row r="219" spans="2:27" ht="12.75">
      <c r="B219" s="158">
        <v>11</v>
      </c>
      <c r="C219" s="218" t="s">
        <v>125</v>
      </c>
      <c r="D219" s="172">
        <v>12</v>
      </c>
      <c r="E219" s="176">
        <v>0</v>
      </c>
      <c r="F219" s="223" t="s">
        <v>152</v>
      </c>
      <c r="G219" s="179" t="str">
        <f>INDEX(Teams!$B$5:$H$45,MATCH(Results!$C219,Teams!$B$5:$B$45,0),3)</f>
        <v>Groundhog Field</v>
      </c>
      <c r="H219" s="179" t="str">
        <f>INDEX(Teams!$B$5:$H$45,MATCH(Results!$C219,Teams!$B$5:$B$45,0),5)</f>
        <v>Woodlands</v>
      </c>
      <c r="I219" s="152" t="str">
        <f>INDEX(Teams!$B$5:$H$45,MATCH(Results!$C219,Teams!$B$5:$B$45,0),6)</f>
        <v>JGZA</v>
      </c>
      <c r="J219" s="152" t="str">
        <f>INDEX(Teams!$B$5:$H$45,MATCH(Results!$F219,Teams!$B$5:$B$45,0),6)</f>
        <v>WALT</v>
      </c>
      <c r="K219" s="69" t="str">
        <f t="shared" si="33"/>
        <v>JGZAWALT</v>
      </c>
      <c r="L219" s="68" t="str">
        <f t="shared" si="34"/>
        <v>JGZA</v>
      </c>
      <c r="M219" s="68">
        <f t="shared" si="35"/>
        <v>1</v>
      </c>
      <c r="N219" s="68">
        <f t="shared" si="36"/>
        <v>12</v>
      </c>
      <c r="O219" s="68" t="str">
        <f t="shared" si="37"/>
        <v>Home</v>
      </c>
      <c r="P219" s="68" t="str">
        <f t="shared" si="38"/>
        <v>JGZA11</v>
      </c>
      <c r="Q219" s="68" t="str">
        <f t="shared" si="39"/>
        <v>WALT11</v>
      </c>
      <c r="R219" s="68" t="e">
        <f>INDEX(RankPoints!$B$4:$AK$19,$B219+1,MATCH(Results!$I219,RankPoints!$B$4:$AK$4,0))</f>
        <v>#N/A</v>
      </c>
      <c r="S219" s="68" t="e">
        <f>INDEX(RankPoints!$B$4:$AK$19,$B219+1,MATCH(Results!$J219,RankPoints!$B$4:$AK$4,0))</f>
        <v>#N/A</v>
      </c>
      <c r="T219" s="68">
        <f t="shared" si="40"/>
        <v>1</v>
      </c>
      <c r="U219" s="155">
        <f t="shared" si="41"/>
        <v>0</v>
      </c>
      <c r="V219" s="156" t="e">
        <f>1/(1+(10^($X219/'[1]Teams'!$F$3)))</f>
        <v>#N/A</v>
      </c>
      <c r="W219" s="157" t="e">
        <f>1/(1+(10^($Y219/'[1]Teams'!$F$3)))</f>
        <v>#N/A</v>
      </c>
      <c r="X219" s="68" t="e">
        <f t="shared" si="42"/>
        <v>#N/A</v>
      </c>
      <c r="Y219" s="155" t="e">
        <f t="shared" si="43"/>
        <v>#N/A</v>
      </c>
      <c r="Z219" s="68" t="e">
        <f>ROUND($R219+(Teams!$H$2*($T219-$V219)),0)</f>
        <v>#N/A</v>
      </c>
      <c r="AA219" s="158" t="e">
        <f>ROUND($S219+(Teams!$H$2*($U219-$W219)),0)</f>
        <v>#N/A</v>
      </c>
    </row>
    <row r="220" spans="2:27" ht="12.75">
      <c r="B220" s="158">
        <v>11</v>
      </c>
      <c r="C220" s="218" t="s">
        <v>109</v>
      </c>
      <c r="D220" s="172">
        <v>12</v>
      </c>
      <c r="E220" s="176">
        <v>7</v>
      </c>
      <c r="F220" s="223" t="s">
        <v>110</v>
      </c>
      <c r="G220" s="179" t="str">
        <f>INDEX(Teams!$B$5:$H$45,MATCH(Results!$C220,Teams!$B$5:$B$45,0),3)</f>
        <v>Walker Field</v>
      </c>
      <c r="H220" s="179" t="str">
        <f>INDEX(Teams!$B$5:$H$45,MATCH(Results!$C220,Teams!$B$5:$B$45,0),5)</f>
        <v>Woodlands</v>
      </c>
      <c r="I220" s="152" t="str">
        <f>INDEX(Teams!$B$5:$H$45,MATCH(Results!$C220,Teams!$B$5:$B$45,0),6)</f>
        <v>ARKN</v>
      </c>
      <c r="J220" s="152" t="str">
        <f>INDEX(Teams!$B$5:$H$45,MATCH(Results!$F220,Teams!$B$5:$B$45,0),6)</f>
        <v>UTCA</v>
      </c>
      <c r="K220" s="69" t="str">
        <f t="shared" si="33"/>
        <v>ARKNUTCA</v>
      </c>
      <c r="L220" s="68" t="str">
        <f t="shared" si="34"/>
        <v>ARKN</v>
      </c>
      <c r="M220" s="68">
        <f t="shared" si="35"/>
        <v>1</v>
      </c>
      <c r="N220" s="68">
        <f t="shared" si="36"/>
        <v>5</v>
      </c>
      <c r="O220" s="68" t="str">
        <f t="shared" si="37"/>
        <v>Home</v>
      </c>
      <c r="P220" s="68" t="str">
        <f t="shared" si="38"/>
        <v>ARKN11</v>
      </c>
      <c r="Q220" s="68" t="str">
        <f t="shared" si="39"/>
        <v>UTCA11</v>
      </c>
      <c r="R220" s="68">
        <f>INDEX(RankPoints!$B$4:$AK$19,$B220+1,MATCH(Results!$I220,RankPoints!$B$4:$AK$4,0))</f>
        <v>351</v>
      </c>
      <c r="S220" s="68">
        <f>INDEX(RankPoints!$B$4:$AK$19,$B220+1,MATCH(Results!$J220,RankPoints!$B$4:$AK$4,0))</f>
        <v>799</v>
      </c>
      <c r="T220" s="68">
        <f t="shared" si="40"/>
        <v>1</v>
      </c>
      <c r="U220" s="155">
        <f t="shared" si="41"/>
        <v>0</v>
      </c>
      <c r="V220" s="156">
        <f>1/(1+(10^($X220/'[1]Teams'!$F$3)))</f>
        <v>0.9294909043747703</v>
      </c>
      <c r="W220" s="157">
        <f>1/(1+(10^($Y220/'[1]Teams'!$F$3)))</f>
        <v>0.0705090956252296</v>
      </c>
      <c r="X220" s="68">
        <f t="shared" si="42"/>
        <v>-448</v>
      </c>
      <c r="Y220" s="155">
        <f t="shared" si="43"/>
        <v>448</v>
      </c>
      <c r="Z220" s="68">
        <f>ROUND($R220+(Teams!$H$2*($T220-$V220)),0)</f>
        <v>353</v>
      </c>
      <c r="AA220" s="158">
        <f>ROUND($S220+(Teams!$H$2*($U220-$W220)),0)</f>
        <v>797</v>
      </c>
    </row>
    <row r="221" spans="2:27" ht="12.75">
      <c r="B221" s="158">
        <v>11</v>
      </c>
      <c r="C221" s="218" t="s">
        <v>158</v>
      </c>
      <c r="D221" s="172">
        <v>13</v>
      </c>
      <c r="E221" s="176">
        <v>14</v>
      </c>
      <c r="F221" s="223" t="s">
        <v>127</v>
      </c>
      <c r="G221" s="179" t="str">
        <f>INDEX(Teams!$B$5:$H$45,MATCH(Results!$C221,Teams!$B$5:$B$45,0),3)</f>
        <v>The Brown House</v>
      </c>
      <c r="H221" s="179" t="str">
        <f>INDEX(Teams!$B$5:$H$45,MATCH(Results!$C221,Teams!$B$5:$B$45,0),5)</f>
        <v>Woodlands</v>
      </c>
      <c r="I221" s="152" t="str">
        <f>INDEX(Teams!$B$5:$H$45,MATCH(Results!$C221,Teams!$B$5:$B$45,0),6)</f>
        <v>TOUF</v>
      </c>
      <c r="J221" s="152" t="str">
        <f>INDEX(Teams!$B$5:$H$45,MATCH(Results!$F221,Teams!$B$5:$B$45,0),6)</f>
        <v>BUCK</v>
      </c>
      <c r="K221" s="69" t="str">
        <f t="shared" si="33"/>
        <v>TOUFBUCK</v>
      </c>
      <c r="L221" s="68" t="str">
        <f t="shared" si="34"/>
        <v>BUCK</v>
      </c>
      <c r="M221" s="68">
        <f t="shared" si="35"/>
        <v>1</v>
      </c>
      <c r="N221" s="68">
        <f t="shared" si="36"/>
        <v>1</v>
      </c>
      <c r="O221" s="68" t="str">
        <f t="shared" si="37"/>
        <v>Away</v>
      </c>
      <c r="P221" s="68" t="str">
        <f t="shared" si="38"/>
        <v>TOUF11</v>
      </c>
      <c r="Q221" s="68" t="str">
        <f t="shared" si="39"/>
        <v>BUCK11</v>
      </c>
      <c r="R221" s="68" t="e">
        <f>INDEX(RankPoints!$B$4:$AK$19,$B221+1,MATCH(Results!$I221,RankPoints!$B$4:$AK$4,0))</f>
        <v>#N/A</v>
      </c>
      <c r="S221" s="68" t="e">
        <f>INDEX(RankPoints!$B$4:$AK$19,$B221+1,MATCH(Results!$J221,RankPoints!$B$4:$AK$4,0))</f>
        <v>#N/A</v>
      </c>
      <c r="T221" s="68">
        <f t="shared" si="40"/>
        <v>0</v>
      </c>
      <c r="U221" s="155">
        <f t="shared" si="41"/>
        <v>1</v>
      </c>
      <c r="V221" s="156" t="e">
        <f>1/(1+(10^($X221/'[1]Teams'!$F$3)))</f>
        <v>#N/A</v>
      </c>
      <c r="W221" s="157" t="e">
        <f>1/(1+(10^($Y221/'[1]Teams'!$F$3)))</f>
        <v>#N/A</v>
      </c>
      <c r="X221" s="68" t="e">
        <f t="shared" si="42"/>
        <v>#N/A</v>
      </c>
      <c r="Y221" s="155" t="e">
        <f t="shared" si="43"/>
        <v>#N/A</v>
      </c>
      <c r="Z221" s="68" t="e">
        <f>ROUND($R221+(Teams!$H$2*($T221-$V221)),0)</f>
        <v>#N/A</v>
      </c>
      <c r="AA221" s="158" t="e">
        <f>ROUND($S221+(Teams!$H$2*($U221-$W221)),0)</f>
        <v>#N/A</v>
      </c>
    </row>
    <row r="222" spans="2:27" ht="12.75">
      <c r="B222" s="158">
        <v>11</v>
      </c>
      <c r="C222" s="218" t="s">
        <v>255</v>
      </c>
      <c r="D222" s="172">
        <v>0</v>
      </c>
      <c r="E222" s="176">
        <v>10</v>
      </c>
      <c r="F222" s="223" t="s">
        <v>78</v>
      </c>
      <c r="G222" s="179" t="str">
        <f>INDEX(Teams!$B$5:$H$45,MATCH(Results!$C222,Teams!$B$5:$B$45,0),3)</f>
        <v>The Hawks Nest</v>
      </c>
      <c r="H222" s="179" t="str">
        <f>INDEX(Teams!$B$5:$H$45,MATCH(Results!$C222,Teams!$B$5:$B$45,0),5)</f>
        <v>Woodlands</v>
      </c>
      <c r="I222" s="152" t="str">
        <f>INDEX(Teams!$B$5:$H$45,MATCH(Results!$C222,Teams!$B$5:$B$45,0),6)</f>
        <v>HUDS</v>
      </c>
      <c r="J222" s="152" t="str">
        <f>INDEX(Teams!$B$5:$H$45,MATCH(Results!$F222,Teams!$B$5:$B$45,0),6)</f>
        <v>FRBB</v>
      </c>
      <c r="K222" s="69" t="str">
        <f t="shared" si="33"/>
        <v>HUDSFRBB</v>
      </c>
      <c r="L222" s="68" t="str">
        <f t="shared" si="34"/>
        <v>FRBB</v>
      </c>
      <c r="M222" s="68">
        <f t="shared" si="35"/>
        <v>1</v>
      </c>
      <c r="N222" s="68">
        <f t="shared" si="36"/>
        <v>10</v>
      </c>
      <c r="O222" s="68" t="str">
        <f t="shared" si="37"/>
        <v>Away</v>
      </c>
      <c r="P222" s="68" t="str">
        <f t="shared" si="38"/>
        <v>HUDS11</v>
      </c>
      <c r="Q222" s="68" t="str">
        <f t="shared" si="39"/>
        <v>FRBB11</v>
      </c>
      <c r="R222" s="68" t="e">
        <f>INDEX(RankPoints!$B$4:$AK$19,$B222+1,MATCH(Results!$I222,RankPoints!$B$4:$AK$4,0))</f>
        <v>#N/A</v>
      </c>
      <c r="S222" s="68">
        <f>INDEX(RankPoints!$B$4:$AK$19,$B222+1,MATCH(Results!$J222,RankPoints!$B$4:$AK$4,0))</f>
        <v>326</v>
      </c>
      <c r="T222" s="68">
        <f t="shared" si="40"/>
        <v>0</v>
      </c>
      <c r="U222" s="155">
        <f t="shared" si="41"/>
        <v>1</v>
      </c>
      <c r="V222" s="156" t="e">
        <f>1/(1+(10^($X222/'[1]Teams'!$F$3)))</f>
        <v>#N/A</v>
      </c>
      <c r="W222" s="157" t="e">
        <f>1/(1+(10^($Y222/'[1]Teams'!$F$3)))</f>
        <v>#N/A</v>
      </c>
      <c r="X222" s="68" t="e">
        <f t="shared" si="42"/>
        <v>#N/A</v>
      </c>
      <c r="Y222" s="155" t="e">
        <f t="shared" si="43"/>
        <v>#N/A</v>
      </c>
      <c r="Z222" s="68" t="e">
        <f>ROUND($R222+(Teams!$H$2*($T222-$V222)),0)</f>
        <v>#N/A</v>
      </c>
      <c r="AA222" s="158" t="e">
        <f>ROUND($S222+(Teams!$H$2*($U222-$W222)),0)</f>
        <v>#N/A</v>
      </c>
    </row>
    <row r="223" spans="2:27" ht="12.75">
      <c r="B223" s="158">
        <v>12</v>
      </c>
      <c r="C223" s="218" t="s">
        <v>271</v>
      </c>
      <c r="D223" s="172">
        <v>41</v>
      </c>
      <c r="E223" s="176">
        <v>7</v>
      </c>
      <c r="F223" s="223" t="s">
        <v>148</v>
      </c>
      <c r="G223" s="179" t="str">
        <f>INDEX(Teams!$B$5:$H$45,MATCH(Results!$C223,Teams!$B$5:$B$45,0),3)</f>
        <v>Saunders Klijde Stadium</v>
      </c>
      <c r="H223" s="179" t="str">
        <f>INDEX(Teams!$B$5:$H$45,MATCH(Results!$C223,Teams!$B$5:$B$45,0),5)</f>
        <v>Big Eight</v>
      </c>
      <c r="I223" s="152" t="str">
        <f>INDEX(Teams!$B$5:$H$45,MATCH(Results!$C223,Teams!$B$5:$B$45,0),6)</f>
        <v>WAA</v>
      </c>
      <c r="J223" s="152" t="str">
        <f>INDEX(Teams!$B$5:$H$45,MATCH(Results!$F223,Teams!$B$5:$B$45,0),6)</f>
        <v>RELK</v>
      </c>
      <c r="K223" s="69" t="str">
        <f t="shared" si="33"/>
        <v>WAARELK</v>
      </c>
      <c r="L223" s="68" t="str">
        <f t="shared" si="34"/>
        <v>WAA</v>
      </c>
      <c r="M223" s="68">
        <f t="shared" si="35"/>
        <v>1</v>
      </c>
      <c r="N223" s="68">
        <f t="shared" si="36"/>
        <v>34</v>
      </c>
      <c r="O223" s="68" t="str">
        <f t="shared" si="37"/>
        <v>Home</v>
      </c>
      <c r="P223" s="68" t="str">
        <f t="shared" si="38"/>
        <v>WAA12</v>
      </c>
      <c r="Q223" s="68" t="str">
        <f t="shared" si="39"/>
        <v>RELK12</v>
      </c>
      <c r="R223" s="68" t="e">
        <f>INDEX(RankPoints!$B$4:$AK$19,$B223+1,MATCH(Results!$I223,RankPoints!$B$4:$AK$4,0))</f>
        <v>#N/A</v>
      </c>
      <c r="S223" s="68" t="e">
        <f>INDEX(RankPoints!$B$4:$AK$19,$B223+1,MATCH(Results!$J223,RankPoints!$B$4:$AK$4,0))</f>
        <v>#N/A</v>
      </c>
      <c r="T223" s="68">
        <f t="shared" si="40"/>
        <v>1</v>
      </c>
      <c r="U223" s="155">
        <f t="shared" si="41"/>
        <v>0</v>
      </c>
      <c r="V223" s="156" t="e">
        <f>1/(1+(10^($X223/'[1]Teams'!$F$3)))</f>
        <v>#N/A</v>
      </c>
      <c r="W223" s="157" t="e">
        <f>1/(1+(10^($Y223/'[1]Teams'!$F$3)))</f>
        <v>#N/A</v>
      </c>
      <c r="X223" s="68" t="e">
        <f t="shared" si="42"/>
        <v>#N/A</v>
      </c>
      <c r="Y223" s="155" t="e">
        <f t="shared" si="43"/>
        <v>#N/A</v>
      </c>
      <c r="Z223" s="68" t="e">
        <f>ROUND($R223+(Teams!$H$2*($T223-$V223)),0)</f>
        <v>#N/A</v>
      </c>
      <c r="AA223" s="158" t="e">
        <f>ROUND($S223+(Teams!$H$2*($U223-$W223)),0)</f>
        <v>#N/A</v>
      </c>
    </row>
    <row r="224" spans="2:27" ht="12.75">
      <c r="B224" s="158">
        <v>12</v>
      </c>
      <c r="C224" s="218" t="s">
        <v>270</v>
      </c>
      <c r="D224" s="172">
        <v>14</v>
      </c>
      <c r="E224" s="176">
        <v>6</v>
      </c>
      <c r="F224" s="223" t="s">
        <v>77</v>
      </c>
      <c r="G224" s="179" t="str">
        <f>INDEX(Teams!$B$5:$H$45,MATCH(Results!$C224,Teams!$B$5:$B$45,0),3)</f>
        <v>Bugny Stadium</v>
      </c>
      <c r="H224" s="179" t="str">
        <f>INDEX(Teams!$B$5:$H$45,MATCH(Results!$C224,Teams!$B$5:$B$45,0),5)</f>
        <v>Big Eight</v>
      </c>
      <c r="I224" s="152" t="str">
        <f>INDEX(Teams!$B$5:$H$45,MATCH(Results!$C224,Teams!$B$5:$B$45,0),6)</f>
        <v>BUGN</v>
      </c>
      <c r="J224" s="152" t="str">
        <f>INDEX(Teams!$B$5:$H$45,MATCH(Results!$F224,Teams!$B$5:$B$45,0),6)</f>
        <v>SAUG</v>
      </c>
      <c r="K224" s="69" t="str">
        <f t="shared" si="33"/>
        <v>BUGNSAUG</v>
      </c>
      <c r="L224" s="68" t="str">
        <f t="shared" si="34"/>
        <v>BUGN</v>
      </c>
      <c r="M224" s="68">
        <f t="shared" si="35"/>
        <v>1</v>
      </c>
      <c r="N224" s="68">
        <f t="shared" si="36"/>
        <v>8</v>
      </c>
      <c r="O224" s="68" t="str">
        <f t="shared" si="37"/>
        <v>Home</v>
      </c>
      <c r="P224" s="68" t="str">
        <f t="shared" si="38"/>
        <v>BUGN12</v>
      </c>
      <c r="Q224" s="68" t="str">
        <f t="shared" si="39"/>
        <v>SAUG12</v>
      </c>
      <c r="R224" s="68">
        <f>INDEX(RankPoints!$B$4:$AK$19,$B224+1,MATCH(Results!$I224,RankPoints!$B$4:$AK$4,0))</f>
        <v>1516</v>
      </c>
      <c r="S224" s="68">
        <f>INDEX(RankPoints!$B$4:$AK$19,$B224+1,MATCH(Results!$J224,RankPoints!$B$4:$AK$4,0))</f>
        <v>0</v>
      </c>
      <c r="T224" s="68">
        <f t="shared" si="40"/>
        <v>1</v>
      </c>
      <c r="U224" s="155">
        <f t="shared" si="41"/>
        <v>0</v>
      </c>
      <c r="V224" s="156">
        <f>1/(1+(10^($X224/'[1]Teams'!$F$3)))</f>
        <v>0.0001621547113210773</v>
      </c>
      <c r="W224" s="157">
        <f>1/(1+(10^($Y224/'[1]Teams'!$F$3)))</f>
        <v>0.9998378452886789</v>
      </c>
      <c r="X224" s="68">
        <f t="shared" si="42"/>
        <v>1516</v>
      </c>
      <c r="Y224" s="155">
        <f t="shared" si="43"/>
        <v>-1516</v>
      </c>
      <c r="Z224" s="68">
        <f>ROUND($R224+(Teams!$H$2*($T224-$V224)),0)</f>
        <v>1548</v>
      </c>
      <c r="AA224" s="158">
        <f>ROUND($S224+(Teams!$H$2*($U224-$W224)),0)</f>
        <v>-32</v>
      </c>
    </row>
    <row r="225" spans="2:27" ht="12.75">
      <c r="B225" s="158">
        <v>12</v>
      </c>
      <c r="C225" s="218" t="s">
        <v>144</v>
      </c>
      <c r="D225" s="172">
        <v>6</v>
      </c>
      <c r="E225" s="176">
        <v>16</v>
      </c>
      <c r="F225" s="223" t="s">
        <v>76</v>
      </c>
      <c r="G225" s="179" t="str">
        <f>INDEX(Teams!$B$5:$H$45,MATCH(Results!$C225,Teams!$B$5:$B$45,0),3)</f>
        <v>Cradence Stadium</v>
      </c>
      <c r="H225" s="179" t="str">
        <f>INDEX(Teams!$B$5:$H$45,MATCH(Results!$C225,Teams!$B$5:$B$45,0),5)</f>
        <v>Big Eight</v>
      </c>
      <c r="I225" s="152" t="str">
        <f>INDEX(Teams!$B$5:$H$45,MATCH(Results!$C225,Teams!$B$5:$B$45,0),6)</f>
        <v>ARLN</v>
      </c>
      <c r="J225" s="152" t="str">
        <f>INDEX(Teams!$B$5:$H$45,MATCH(Results!$F225,Teams!$B$5:$B$45,0),6)</f>
        <v>SCTT</v>
      </c>
      <c r="K225" s="69" t="str">
        <f t="shared" si="33"/>
        <v>ARLNSCTT</v>
      </c>
      <c r="L225" s="68" t="str">
        <f t="shared" si="34"/>
        <v>SCTT</v>
      </c>
      <c r="M225" s="68">
        <f t="shared" si="35"/>
        <v>1</v>
      </c>
      <c r="N225" s="68">
        <f t="shared" si="36"/>
        <v>10</v>
      </c>
      <c r="O225" s="68" t="str">
        <f t="shared" si="37"/>
        <v>Away</v>
      </c>
      <c r="P225" s="68" t="str">
        <f t="shared" si="38"/>
        <v>ARLN12</v>
      </c>
      <c r="Q225" s="68" t="str">
        <f t="shared" si="39"/>
        <v>SCTT12</v>
      </c>
      <c r="R225" s="68" t="e">
        <f>INDEX(RankPoints!$B$4:$AK$19,$B225+1,MATCH(Results!$I225,RankPoints!$B$4:$AK$4,0))</f>
        <v>#N/A</v>
      </c>
      <c r="S225" s="68">
        <f>INDEX(RankPoints!$B$4:$AK$19,$B225+1,MATCH(Results!$J225,RankPoints!$B$4:$AK$4,0))</f>
        <v>1651</v>
      </c>
      <c r="T225" s="68">
        <f t="shared" si="40"/>
        <v>0</v>
      </c>
      <c r="U225" s="155">
        <f t="shared" si="41"/>
        <v>1</v>
      </c>
      <c r="V225" s="156" t="e">
        <f>1/(1+(10^($X225/'[1]Teams'!$F$3)))</f>
        <v>#N/A</v>
      </c>
      <c r="W225" s="157" t="e">
        <f>1/(1+(10^($Y225/'[1]Teams'!$F$3)))</f>
        <v>#N/A</v>
      </c>
      <c r="X225" s="68" t="e">
        <f t="shared" si="42"/>
        <v>#N/A</v>
      </c>
      <c r="Y225" s="155" t="e">
        <f t="shared" si="43"/>
        <v>#N/A</v>
      </c>
      <c r="Z225" s="68" t="e">
        <f>ROUND($R225+(Teams!$H$2*($T225-$V225)),0)</f>
        <v>#N/A</v>
      </c>
      <c r="AA225" s="158" t="e">
        <f>ROUND($S225+(Teams!$H$2*($U225-$W225)),0)</f>
        <v>#N/A</v>
      </c>
    </row>
    <row r="226" spans="2:27" ht="12.75">
      <c r="B226" s="158">
        <v>12</v>
      </c>
      <c r="C226" s="218" t="s">
        <v>154</v>
      </c>
      <c r="D226" s="172">
        <v>30</v>
      </c>
      <c r="E226" s="176">
        <v>23</v>
      </c>
      <c r="F226" s="223" t="s">
        <v>124</v>
      </c>
      <c r="G226" s="179" t="str">
        <f>INDEX(Teams!$B$5:$H$45,MATCH(Results!$C226,Teams!$B$5:$B$45,0),3)</f>
        <v>Nobel Stadium</v>
      </c>
      <c r="H226" s="179" t="str">
        <f>INDEX(Teams!$B$5:$H$45,MATCH(Results!$C226,Teams!$B$5:$B$45,0),5)</f>
        <v>Big Eight</v>
      </c>
      <c r="I226" s="152" t="str">
        <f>INDEX(Teams!$B$5:$H$45,MATCH(Results!$C226,Teams!$B$5:$B$45,0),6)</f>
        <v>NOBL</v>
      </c>
      <c r="J226" s="152" t="str">
        <f>INDEX(Teams!$B$5:$H$45,MATCH(Results!$F226,Teams!$B$5:$B$45,0),6)</f>
        <v>TIMC</v>
      </c>
      <c r="K226" s="69" t="str">
        <f t="shared" si="33"/>
        <v>NOBLTIMC</v>
      </c>
      <c r="L226" s="68" t="str">
        <f t="shared" si="34"/>
        <v>NOBL</v>
      </c>
      <c r="M226" s="68">
        <f t="shared" si="35"/>
        <v>1</v>
      </c>
      <c r="N226" s="68">
        <f t="shared" si="36"/>
        <v>7</v>
      </c>
      <c r="O226" s="68" t="str">
        <f t="shared" si="37"/>
        <v>Home</v>
      </c>
      <c r="P226" s="68" t="str">
        <f t="shared" si="38"/>
        <v>NOBL12</v>
      </c>
      <c r="Q226" s="68" t="str">
        <f t="shared" si="39"/>
        <v>TIMC12</v>
      </c>
      <c r="R226" s="68" t="e">
        <f>INDEX(RankPoints!$B$4:$AK$19,$B226+1,MATCH(Results!$I226,RankPoints!$B$4:$AK$4,0))</f>
        <v>#N/A</v>
      </c>
      <c r="S226" s="68" t="e">
        <f>INDEX(RankPoints!$B$4:$AK$19,$B226+1,MATCH(Results!$J226,RankPoints!$B$4:$AK$4,0))</f>
        <v>#N/A</v>
      </c>
      <c r="T226" s="68">
        <f t="shared" si="40"/>
        <v>1</v>
      </c>
      <c r="U226" s="155">
        <f t="shared" si="41"/>
        <v>0</v>
      </c>
      <c r="V226" s="156" t="e">
        <f>1/(1+(10^($X226/'[1]Teams'!$F$3)))</f>
        <v>#N/A</v>
      </c>
      <c r="W226" s="157" t="e">
        <f>1/(1+(10^($Y226/'[1]Teams'!$F$3)))</f>
        <v>#N/A</v>
      </c>
      <c r="X226" s="68" t="e">
        <f t="shared" si="42"/>
        <v>#N/A</v>
      </c>
      <c r="Y226" s="155" t="e">
        <f t="shared" si="43"/>
        <v>#N/A</v>
      </c>
      <c r="Z226" s="68" t="e">
        <f>ROUND($R226+(Teams!$H$2*($T226-$V226)),0)</f>
        <v>#N/A</v>
      </c>
      <c r="AA226" s="158" t="e">
        <f>ROUND($S226+(Teams!$H$2*($U226-$W226)),0)</f>
        <v>#N/A</v>
      </c>
    </row>
    <row r="227" spans="2:27" ht="12.75">
      <c r="B227" s="158">
        <v>12</v>
      </c>
      <c r="C227" s="173" t="s">
        <v>248</v>
      </c>
      <c r="D227" s="262">
        <v>24</v>
      </c>
      <c r="E227" s="263">
        <v>0</v>
      </c>
      <c r="F227" s="177" t="s">
        <v>153</v>
      </c>
      <c r="G227" s="179" t="str">
        <f>INDEX(Teams!$B$5:$H$45,MATCH(Results!$C227,Teams!$B$5:$B$45,0),3)</f>
        <v>Dorrel Stadium</v>
      </c>
      <c r="H227" s="179" t="str">
        <f>INDEX(Teams!$B$5:$H$45,MATCH(Results!$C227,Teams!$B$5:$B$45,0),5)</f>
        <v>Horizon</v>
      </c>
      <c r="I227" s="152" t="str">
        <f>INDEX(Teams!$B$5:$H$45,MATCH(Results!$C227,Teams!$B$5:$B$45,0),6)</f>
        <v>COLD</v>
      </c>
      <c r="J227" s="152" t="str">
        <f>INDEX(Teams!$B$5:$H$45,MATCH(Results!$F227,Teams!$B$5:$B$45,0),6)</f>
        <v>RSTU</v>
      </c>
      <c r="K227" s="69" t="str">
        <f t="shared" si="33"/>
        <v>COLDRSTU</v>
      </c>
      <c r="L227" s="68" t="str">
        <f t="shared" si="34"/>
        <v>COLD</v>
      </c>
      <c r="M227" s="68">
        <f t="shared" si="35"/>
        <v>1</v>
      </c>
      <c r="N227" s="68">
        <f t="shared" si="36"/>
        <v>24</v>
      </c>
      <c r="O227" s="68" t="str">
        <f t="shared" si="37"/>
        <v>Home</v>
      </c>
      <c r="P227" s="68" t="str">
        <f t="shared" si="38"/>
        <v>COLD12</v>
      </c>
      <c r="Q227" s="68" t="str">
        <f t="shared" si="39"/>
        <v>RSTU12</v>
      </c>
      <c r="R227" s="68">
        <f>INDEX(RankPoints!$B$4:$AK$19,$B227+1,MATCH(Results!$I227,RankPoints!$B$4:$AK$4,0))</f>
        <v>2635</v>
      </c>
      <c r="S227" s="68" t="e">
        <f>INDEX(RankPoints!$B$4:$AK$19,$B227+1,MATCH(Results!$J227,RankPoints!$B$4:$AK$4,0))</f>
        <v>#N/A</v>
      </c>
      <c r="T227" s="68">
        <f t="shared" si="40"/>
        <v>1</v>
      </c>
      <c r="U227" s="155">
        <f t="shared" si="41"/>
        <v>0</v>
      </c>
      <c r="V227" s="156" t="e">
        <f>1/(1+(10^($X227/'[1]Teams'!$F$3)))</f>
        <v>#N/A</v>
      </c>
      <c r="W227" s="157" t="e">
        <f>1/(1+(10^($Y227/'[1]Teams'!$F$3)))</f>
        <v>#N/A</v>
      </c>
      <c r="X227" s="68" t="e">
        <f t="shared" si="42"/>
        <v>#N/A</v>
      </c>
      <c r="Y227" s="155" t="e">
        <f t="shared" si="43"/>
        <v>#N/A</v>
      </c>
      <c r="Z227" s="68" t="e">
        <f>ROUND($R227+(Teams!$H$2*($T227-$V227)),0)</f>
        <v>#N/A</v>
      </c>
      <c r="AA227" s="158" t="e">
        <f>ROUND($S227+(Teams!$H$2*($U227-$W227)),0)</f>
        <v>#N/A</v>
      </c>
    </row>
    <row r="228" spans="2:27" ht="12.75">
      <c r="B228" s="158">
        <v>12</v>
      </c>
      <c r="C228" s="173" t="s">
        <v>20</v>
      </c>
      <c r="D228" s="262">
        <v>38</v>
      </c>
      <c r="E228" s="263">
        <v>0</v>
      </c>
      <c r="F228" s="177" t="s">
        <v>21</v>
      </c>
      <c r="G228" s="179" t="str">
        <f>INDEX(Teams!$B$5:$H$45,MATCH(Results!$C228,Teams!$B$5:$B$45,0),3)</f>
        <v>Capital Coliseum</v>
      </c>
      <c r="H228" s="179" t="str">
        <f>INDEX(Teams!$B$5:$H$45,MATCH(Results!$C228,Teams!$B$5:$B$45,0),5)</f>
        <v>Horizon</v>
      </c>
      <c r="I228" s="152" t="str">
        <f>INDEX(Teams!$B$5:$H$45,MATCH(Results!$C228,Teams!$B$5:$B$45,0),6)</f>
        <v>RCU</v>
      </c>
      <c r="J228" s="152" t="str">
        <f>INDEX(Teams!$B$5:$H$45,MATCH(Results!$F228,Teams!$B$5:$B$45,0),6)</f>
        <v>STON</v>
      </c>
      <c r="K228" s="69" t="str">
        <f t="shared" si="33"/>
        <v>RCUSTON</v>
      </c>
      <c r="L228" s="68" t="str">
        <f t="shared" si="34"/>
        <v>RCU</v>
      </c>
      <c r="M228" s="68">
        <f t="shared" si="35"/>
        <v>1</v>
      </c>
      <c r="N228" s="68">
        <f t="shared" si="36"/>
        <v>38</v>
      </c>
      <c r="O228" s="68" t="str">
        <f t="shared" si="37"/>
        <v>Home</v>
      </c>
      <c r="P228" s="68" t="str">
        <f t="shared" si="38"/>
        <v>RCU12</v>
      </c>
      <c r="Q228" s="68" t="str">
        <f t="shared" si="39"/>
        <v>STON12</v>
      </c>
      <c r="R228" s="68">
        <f>INDEX(RankPoints!$B$4:$AK$19,$B228+1,MATCH(Results!$I228,RankPoints!$B$4:$AK$4,0))</f>
        <v>-1287</v>
      </c>
      <c r="S228" s="68">
        <f>INDEX(RankPoints!$B$4:$AK$19,$B228+1,MATCH(Results!$J228,RankPoints!$B$4:$AK$4,0))</f>
        <v>2850</v>
      </c>
      <c r="T228" s="68">
        <f t="shared" si="40"/>
        <v>1</v>
      </c>
      <c r="U228" s="155">
        <f t="shared" si="41"/>
        <v>0</v>
      </c>
      <c r="V228" s="156">
        <f>1/(1+(10^($X228/'[1]Teams'!$F$3)))</f>
        <v>0.9999999999545535</v>
      </c>
      <c r="W228" s="157">
        <f>1/(1+(10^($Y228/'[1]Teams'!$F$3)))</f>
        <v>4.544645371888546E-11</v>
      </c>
      <c r="X228" s="68">
        <f t="shared" si="42"/>
        <v>-4137</v>
      </c>
      <c r="Y228" s="155">
        <f t="shared" si="43"/>
        <v>4137</v>
      </c>
      <c r="Z228" s="68">
        <f>ROUND($R228+(Teams!$H$2*($T228-$V228)),0)</f>
        <v>-1287</v>
      </c>
      <c r="AA228" s="158">
        <f>ROUND($S228+(Teams!$H$2*($U228-$W228)),0)</f>
        <v>2850</v>
      </c>
    </row>
    <row r="229" spans="2:27" ht="12.75">
      <c r="B229" s="158">
        <v>12</v>
      </c>
      <c r="C229" s="173" t="s">
        <v>145</v>
      </c>
      <c r="D229" s="262">
        <v>23</v>
      </c>
      <c r="E229" s="263">
        <v>10</v>
      </c>
      <c r="F229" s="177" t="s">
        <v>151</v>
      </c>
      <c r="G229" s="179" t="str">
        <f>INDEX(Teams!$B$5:$H$45,MATCH(Results!$C229,Teams!$B$5:$B$45,0),3)</f>
        <v>Indana Municipal Field</v>
      </c>
      <c r="H229" s="179" t="str">
        <f>INDEX(Teams!$B$5:$H$45,MATCH(Results!$C229,Teams!$B$5:$B$45,0),5)</f>
        <v>Horizon</v>
      </c>
      <c r="I229" s="152" t="str">
        <f>INDEX(Teams!$B$5:$H$45,MATCH(Results!$C229,Teams!$B$5:$B$45,0),6)</f>
        <v>INDN</v>
      </c>
      <c r="J229" s="152" t="str">
        <f>INDEX(Teams!$B$5:$H$45,MATCH(Results!$F229,Teams!$B$5:$B$45,0),6)</f>
        <v>OLYM</v>
      </c>
      <c r="K229" s="69" t="str">
        <f t="shared" si="33"/>
        <v>INDNOLYM</v>
      </c>
      <c r="L229" s="68" t="str">
        <f t="shared" si="34"/>
        <v>INDN</v>
      </c>
      <c r="M229" s="68">
        <f t="shared" si="35"/>
        <v>1</v>
      </c>
      <c r="N229" s="68">
        <f t="shared" si="36"/>
        <v>13</v>
      </c>
      <c r="O229" s="68" t="str">
        <f t="shared" si="37"/>
        <v>Home</v>
      </c>
      <c r="P229" s="68" t="str">
        <f t="shared" si="38"/>
        <v>INDN12</v>
      </c>
      <c r="Q229" s="68" t="str">
        <f t="shared" si="39"/>
        <v>OLYM12</v>
      </c>
      <c r="R229" s="68" t="e">
        <f>INDEX(RankPoints!$B$4:$AK$19,$B229+1,MATCH(Results!$I229,RankPoints!$B$4:$AK$4,0))</f>
        <v>#N/A</v>
      </c>
      <c r="S229" s="68" t="e">
        <f>INDEX(RankPoints!$B$4:$AK$19,$B229+1,MATCH(Results!$J229,RankPoints!$B$4:$AK$4,0))</f>
        <v>#N/A</v>
      </c>
      <c r="T229" s="68">
        <f t="shared" si="40"/>
        <v>1</v>
      </c>
      <c r="U229" s="155">
        <f t="shared" si="41"/>
        <v>0</v>
      </c>
      <c r="V229" s="156" t="e">
        <f>1/(1+(10^($X229/'[1]Teams'!$F$3)))</f>
        <v>#N/A</v>
      </c>
      <c r="W229" s="157" t="e">
        <f>1/(1+(10^($Y229/'[1]Teams'!$F$3)))</f>
        <v>#N/A</v>
      </c>
      <c r="X229" s="68" t="e">
        <f t="shared" si="42"/>
        <v>#N/A</v>
      </c>
      <c r="Y229" s="155" t="e">
        <f t="shared" si="43"/>
        <v>#N/A</v>
      </c>
      <c r="Z229" s="68" t="e">
        <f>ROUND($R229+(Teams!$H$2*($T229-$V229)),0)</f>
        <v>#N/A</v>
      </c>
      <c r="AA229" s="158" t="e">
        <f>ROUND($S229+(Teams!$H$2*($U229-$W229)),0)</f>
        <v>#N/A</v>
      </c>
    </row>
    <row r="230" spans="2:27" ht="12.75">
      <c r="B230" s="158">
        <v>12</v>
      </c>
      <c r="C230" s="173" t="s">
        <v>157</v>
      </c>
      <c r="D230" s="262">
        <v>13</v>
      </c>
      <c r="E230" s="263">
        <v>23</v>
      </c>
      <c r="F230" s="177" t="s">
        <v>149</v>
      </c>
      <c r="G230" s="179" t="str">
        <f>INDEX(Teams!$B$5:$H$45,MATCH(Results!$C230,Teams!$B$5:$B$45,0),3)</f>
        <v>Badger Stadium</v>
      </c>
      <c r="H230" s="179" t="str">
        <f>INDEX(Teams!$B$5:$H$45,MATCH(Results!$C230,Teams!$B$5:$B$45,0),5)</f>
        <v>Horizon</v>
      </c>
      <c r="I230" s="152" t="str">
        <f>INDEX(Teams!$B$5:$H$45,MATCH(Results!$C230,Teams!$B$5:$B$45,0),6)</f>
        <v>WIEN</v>
      </c>
      <c r="J230" s="152" t="str">
        <f>INDEX(Teams!$B$5:$H$45,MATCH(Results!$F230,Teams!$B$5:$B$45,0),6)</f>
        <v>USPN</v>
      </c>
      <c r="K230" s="69" t="str">
        <f t="shared" si="33"/>
        <v>WIENUSPN</v>
      </c>
      <c r="L230" s="68" t="str">
        <f t="shared" si="34"/>
        <v>USPN</v>
      </c>
      <c r="M230" s="68">
        <f t="shared" si="35"/>
        <v>1</v>
      </c>
      <c r="N230" s="68">
        <f t="shared" si="36"/>
        <v>10</v>
      </c>
      <c r="O230" s="68" t="str">
        <f t="shared" si="37"/>
        <v>Away</v>
      </c>
      <c r="P230" s="68" t="str">
        <f t="shared" si="38"/>
        <v>WIEN12</v>
      </c>
      <c r="Q230" s="68" t="str">
        <f t="shared" si="39"/>
        <v>USPN12</v>
      </c>
      <c r="R230" s="68" t="e">
        <f>INDEX(RankPoints!$B$4:$AK$19,$B230+1,MATCH(Results!$I230,RankPoints!$B$4:$AK$4,0))</f>
        <v>#N/A</v>
      </c>
      <c r="S230" s="68" t="e">
        <f>INDEX(RankPoints!$B$4:$AK$19,$B230+1,MATCH(Results!$J230,RankPoints!$B$4:$AK$4,0))</f>
        <v>#N/A</v>
      </c>
      <c r="T230" s="68">
        <f t="shared" si="40"/>
        <v>0</v>
      </c>
      <c r="U230" s="155">
        <f t="shared" si="41"/>
        <v>1</v>
      </c>
      <c r="V230" s="156" t="e">
        <f>1/(1+(10^($X230/'[1]Teams'!$F$3)))</f>
        <v>#N/A</v>
      </c>
      <c r="W230" s="157" t="e">
        <f>1/(1+(10^($Y230/'[1]Teams'!$F$3)))</f>
        <v>#N/A</v>
      </c>
      <c r="X230" s="68" t="e">
        <f t="shared" si="42"/>
        <v>#N/A</v>
      </c>
      <c r="Y230" s="155" t="e">
        <f t="shared" si="43"/>
        <v>#N/A</v>
      </c>
      <c r="Z230" s="68" t="e">
        <f>ROUND($R230+(Teams!$H$2*($T230-$V230)),0)</f>
        <v>#N/A</v>
      </c>
      <c r="AA230" s="158" t="e">
        <f>ROUND($S230+(Teams!$H$2*($U230-$W230)),0)</f>
        <v>#N/A</v>
      </c>
    </row>
    <row r="231" spans="2:27" ht="12.75">
      <c r="B231" s="158">
        <v>12</v>
      </c>
      <c r="C231" s="173" t="s">
        <v>121</v>
      </c>
      <c r="D231" s="262">
        <v>10</v>
      </c>
      <c r="E231" s="263">
        <v>0</v>
      </c>
      <c r="F231" s="177" t="s">
        <v>150</v>
      </c>
      <c r="G231" s="179" t="str">
        <f>INDEX(Teams!$B$5:$H$45,MATCH(Results!$C231,Teams!$B$5:$B$45,0),3)</f>
        <v>P. K. Morgan &amp; Sons Field</v>
      </c>
      <c r="H231" s="179" t="str">
        <f>INDEX(Teams!$B$5:$H$45,MATCH(Results!$C231,Teams!$B$5:$B$45,0),5)</f>
        <v>Mineral</v>
      </c>
      <c r="I231" s="152" t="str">
        <f>INDEX(Teams!$B$5:$H$45,MATCH(Results!$C231,Teams!$B$5:$B$45,0),6)</f>
        <v>CRGA</v>
      </c>
      <c r="J231" s="152" t="str">
        <f>INDEX(Teams!$B$5:$H$45,MATCH(Results!$F231,Teams!$B$5:$B$45,0),6)</f>
        <v>RICH</v>
      </c>
      <c r="K231" s="69" t="str">
        <f t="shared" si="33"/>
        <v>CRGARICH</v>
      </c>
      <c r="L231" s="68" t="str">
        <f t="shared" si="34"/>
        <v>CRGA</v>
      </c>
      <c r="M231" s="68">
        <f t="shared" si="35"/>
        <v>1</v>
      </c>
      <c r="N231" s="68">
        <f t="shared" si="36"/>
        <v>10</v>
      </c>
      <c r="O231" s="68" t="str">
        <f t="shared" si="37"/>
        <v>Home</v>
      </c>
      <c r="P231" s="68" t="str">
        <f t="shared" si="38"/>
        <v>CRGA12</v>
      </c>
      <c r="Q231" s="68" t="str">
        <f t="shared" si="39"/>
        <v>RICH12</v>
      </c>
      <c r="R231" s="68" t="e">
        <f>INDEX(RankPoints!$B$4:$AK$19,$B231+1,MATCH(Results!$I231,RankPoints!$B$4:$AK$4,0))</f>
        <v>#N/A</v>
      </c>
      <c r="S231" s="68" t="e">
        <f>INDEX(RankPoints!$B$4:$AK$19,$B231+1,MATCH(Results!$J231,RankPoints!$B$4:$AK$4,0))</f>
        <v>#N/A</v>
      </c>
      <c r="T231" s="68">
        <f t="shared" si="40"/>
        <v>1</v>
      </c>
      <c r="U231" s="155">
        <f t="shared" si="41"/>
        <v>0</v>
      </c>
      <c r="V231" s="156" t="e">
        <f>1/(1+(10^($X231/'[1]Teams'!$F$3)))</f>
        <v>#N/A</v>
      </c>
      <c r="W231" s="157" t="e">
        <f>1/(1+(10^($Y231/'[1]Teams'!$F$3)))</f>
        <v>#N/A</v>
      </c>
      <c r="X231" s="68" t="e">
        <f t="shared" si="42"/>
        <v>#N/A</v>
      </c>
      <c r="Y231" s="155" t="e">
        <f t="shared" si="43"/>
        <v>#N/A</v>
      </c>
      <c r="Z231" s="68" t="e">
        <f>ROUND($R231+(Teams!$H$2*($T231-$V231)),0)</f>
        <v>#N/A</v>
      </c>
      <c r="AA231" s="158" t="e">
        <f>ROUND($S231+(Teams!$H$2*($U231-$W231)),0)</f>
        <v>#N/A</v>
      </c>
    </row>
    <row r="232" spans="2:27" ht="12.75">
      <c r="B232" s="158">
        <v>12</v>
      </c>
      <c r="C232" s="173" t="s">
        <v>155</v>
      </c>
      <c r="D232" s="262">
        <v>17</v>
      </c>
      <c r="E232" s="263">
        <v>45</v>
      </c>
      <c r="F232" s="177" t="s">
        <v>266</v>
      </c>
      <c r="G232" s="179" t="str">
        <f>INDEX(Teams!$B$5:$H$45,MATCH(Results!$C232,Teams!$B$5:$B$45,0),3)</f>
        <v>East Kilbride Area</v>
      </c>
      <c r="H232" s="179" t="str">
        <f>INDEX(Teams!$B$5:$H$45,MATCH(Results!$C232,Teams!$B$5:$B$45,0),5)</f>
        <v>Mineral</v>
      </c>
      <c r="I232" s="152" t="str">
        <f>INDEX(Teams!$B$5:$H$45,MATCH(Results!$C232,Teams!$B$5:$B$45,0),6)</f>
        <v>EKIL</v>
      </c>
      <c r="J232" s="152" t="str">
        <f>INDEX(Teams!$B$5:$H$45,MATCH(Results!$F232,Teams!$B$5:$B$45,0),6)</f>
        <v>UPSL</v>
      </c>
      <c r="K232" s="69" t="str">
        <f t="shared" si="33"/>
        <v>EKILUPSL</v>
      </c>
      <c r="L232" s="68" t="str">
        <f t="shared" si="34"/>
        <v>UPSL</v>
      </c>
      <c r="M232" s="68">
        <f t="shared" si="35"/>
        <v>1</v>
      </c>
      <c r="N232" s="68">
        <f t="shared" si="36"/>
        <v>28</v>
      </c>
      <c r="O232" s="68" t="str">
        <f t="shared" si="37"/>
        <v>Away</v>
      </c>
      <c r="P232" s="68" t="str">
        <f t="shared" si="38"/>
        <v>EKIL12</v>
      </c>
      <c r="Q232" s="68" t="str">
        <f t="shared" si="39"/>
        <v>UPSL12</v>
      </c>
      <c r="R232" s="68" t="e">
        <f>INDEX(RankPoints!$B$4:$AK$19,$B232+1,MATCH(Results!$I232,RankPoints!$B$4:$AK$4,0))</f>
        <v>#N/A</v>
      </c>
      <c r="S232" s="68">
        <f>INDEX(RankPoints!$B$4:$AK$19,$B232+1,MATCH(Results!$J232,RankPoints!$B$4:$AK$4,0))</f>
        <v>1516</v>
      </c>
      <c r="T232" s="68">
        <f t="shared" si="40"/>
        <v>0</v>
      </c>
      <c r="U232" s="155">
        <f t="shared" si="41"/>
        <v>1</v>
      </c>
      <c r="V232" s="156" t="e">
        <f>1/(1+(10^($X232/'[1]Teams'!$F$3)))</f>
        <v>#N/A</v>
      </c>
      <c r="W232" s="157" t="e">
        <f>1/(1+(10^($Y232/'[1]Teams'!$F$3)))</f>
        <v>#N/A</v>
      </c>
      <c r="X232" s="68" t="e">
        <f t="shared" si="42"/>
        <v>#N/A</v>
      </c>
      <c r="Y232" s="155" t="e">
        <f t="shared" si="43"/>
        <v>#N/A</v>
      </c>
      <c r="Z232" s="68" t="e">
        <f>ROUND($R232+(Teams!$H$2*($T232-$V232)),0)</f>
        <v>#N/A</v>
      </c>
      <c r="AA232" s="158" t="e">
        <f>ROUND($S232+(Teams!$H$2*($U232-$W232)),0)</f>
        <v>#N/A</v>
      </c>
    </row>
    <row r="233" spans="2:27" ht="12.75">
      <c r="B233" s="158">
        <v>12</v>
      </c>
      <c r="C233" s="173" t="s">
        <v>156</v>
      </c>
      <c r="D233" s="262">
        <v>13</v>
      </c>
      <c r="E233" s="263">
        <v>17</v>
      </c>
      <c r="F233" s="177" t="s">
        <v>251</v>
      </c>
      <c r="G233" s="179" t="str">
        <f>INDEX(Teams!$B$5:$H$45,MATCH(Results!$C233,Teams!$B$5:$B$45,0),3)</f>
        <v>Luis Cod Memorial Stadium</v>
      </c>
      <c r="H233" s="179" t="str">
        <f>INDEX(Teams!$B$5:$H$45,MATCH(Results!$C233,Teams!$B$5:$B$45,0),5)</f>
        <v>Mineral</v>
      </c>
      <c r="I233" s="152" t="str">
        <f>INDEX(Teams!$B$5:$H$45,MATCH(Results!$C233,Teams!$B$5:$B$45,0),6)</f>
        <v>BLUE</v>
      </c>
      <c r="J233" s="152" t="str">
        <f>INDEX(Teams!$B$5:$H$45,MATCH(Results!$F233,Teams!$B$5:$B$45,0),6)</f>
        <v>HRLP</v>
      </c>
      <c r="K233" s="69" t="str">
        <f t="shared" si="33"/>
        <v>BLUEHRLP</v>
      </c>
      <c r="L233" s="68" t="str">
        <f t="shared" si="34"/>
        <v>HRLP</v>
      </c>
      <c r="M233" s="68">
        <f t="shared" si="35"/>
        <v>1</v>
      </c>
      <c r="N233" s="68">
        <f t="shared" si="36"/>
        <v>4</v>
      </c>
      <c r="O233" s="68" t="str">
        <f t="shared" si="37"/>
        <v>Away</v>
      </c>
      <c r="P233" s="68" t="str">
        <f t="shared" si="38"/>
        <v>BLUE12</v>
      </c>
      <c r="Q233" s="68" t="str">
        <f t="shared" si="39"/>
        <v>HRLP12</v>
      </c>
      <c r="R233" s="68" t="e">
        <f>INDEX(RankPoints!$B$4:$AK$19,$B233+1,MATCH(Results!$I233,RankPoints!$B$4:$AK$4,0))</f>
        <v>#N/A</v>
      </c>
      <c r="S233" s="68" t="e">
        <f>INDEX(RankPoints!$B$4:$AK$19,$B233+1,MATCH(Results!$J233,RankPoints!$B$4:$AK$4,0))</f>
        <v>#N/A</v>
      </c>
      <c r="T233" s="68">
        <f t="shared" si="40"/>
        <v>0</v>
      </c>
      <c r="U233" s="155">
        <f t="shared" si="41"/>
        <v>1</v>
      </c>
      <c r="V233" s="156" t="e">
        <f>1/(1+(10^($X233/'[1]Teams'!$F$3)))</f>
        <v>#N/A</v>
      </c>
      <c r="W233" s="157" t="e">
        <f>1/(1+(10^($Y233/'[1]Teams'!$F$3)))</f>
        <v>#N/A</v>
      </c>
      <c r="X233" s="68" t="e">
        <f t="shared" si="42"/>
        <v>#N/A</v>
      </c>
      <c r="Y233" s="155" t="e">
        <f t="shared" si="43"/>
        <v>#N/A</v>
      </c>
      <c r="Z233" s="68" t="e">
        <f>ROUND($R233+(Teams!$H$2*($T233-$V233)),0)</f>
        <v>#N/A</v>
      </c>
      <c r="AA233" s="158" t="e">
        <f>ROUND($S233+(Teams!$H$2*($U233-$W233)),0)</f>
        <v>#N/A</v>
      </c>
    </row>
    <row r="234" spans="2:27" ht="12.75">
      <c r="B234" s="158">
        <v>12</v>
      </c>
      <c r="C234" s="173" t="s">
        <v>80</v>
      </c>
      <c r="D234" s="262">
        <v>32</v>
      </c>
      <c r="E234" s="263">
        <v>0</v>
      </c>
      <c r="F234" s="177" t="s">
        <v>146</v>
      </c>
      <c r="G234" s="179" t="str">
        <f>INDEX(Teams!$B$5:$H$45,MATCH(Results!$C234,Teams!$B$5:$B$45,0),3)</f>
        <v>Orange Bowl</v>
      </c>
      <c r="H234" s="179" t="str">
        <f>INDEX(Teams!$B$5:$H$45,MATCH(Results!$C234,Teams!$B$5:$B$45,0),5)</f>
        <v>Mineral</v>
      </c>
      <c r="I234" s="152" t="str">
        <f>INDEX(Teams!$B$5:$H$45,MATCH(Results!$C234,Teams!$B$5:$B$45,0),6)</f>
        <v>OCSU</v>
      </c>
      <c r="J234" s="152" t="str">
        <f>INDEX(Teams!$B$5:$H$45,MATCH(Results!$F234,Teams!$B$5:$B$45,0),6)</f>
        <v>WSIT</v>
      </c>
      <c r="K234" s="69" t="str">
        <f t="shared" si="33"/>
        <v>OCSUWSIT</v>
      </c>
      <c r="L234" s="68" t="str">
        <f t="shared" si="34"/>
        <v>OCSU</v>
      </c>
      <c r="M234" s="68">
        <f t="shared" si="35"/>
        <v>1</v>
      </c>
      <c r="N234" s="68">
        <f t="shared" si="36"/>
        <v>32</v>
      </c>
      <c r="O234" s="68" t="str">
        <f t="shared" si="37"/>
        <v>Home</v>
      </c>
      <c r="P234" s="68" t="str">
        <f t="shared" si="38"/>
        <v>OCSU12</v>
      </c>
      <c r="Q234" s="68" t="str">
        <f t="shared" si="39"/>
        <v>WSIT12</v>
      </c>
      <c r="R234" s="68">
        <f>INDEX(RankPoints!$B$4:$AK$19,$B234+1,MATCH(Results!$I234,RankPoints!$B$4:$AK$4,0))</f>
        <v>-1516</v>
      </c>
      <c r="S234" s="68" t="e">
        <f>INDEX(RankPoints!$B$4:$AK$19,$B234+1,MATCH(Results!$J234,RankPoints!$B$4:$AK$4,0))</f>
        <v>#N/A</v>
      </c>
      <c r="T234" s="68">
        <f t="shared" si="40"/>
        <v>1</v>
      </c>
      <c r="U234" s="155">
        <f t="shared" si="41"/>
        <v>0</v>
      </c>
      <c r="V234" s="156" t="e">
        <f>1/(1+(10^($X234/'[1]Teams'!$F$3)))</f>
        <v>#N/A</v>
      </c>
      <c r="W234" s="157" t="e">
        <f>1/(1+(10^($Y234/'[1]Teams'!$F$3)))</f>
        <v>#N/A</v>
      </c>
      <c r="X234" s="68" t="e">
        <f t="shared" si="42"/>
        <v>#N/A</v>
      </c>
      <c r="Y234" s="155" t="e">
        <f t="shared" si="43"/>
        <v>#N/A</v>
      </c>
      <c r="Z234" s="68" t="e">
        <f>ROUND($R234+(Teams!$H$2*($T234-$V234)),0)</f>
        <v>#N/A</v>
      </c>
      <c r="AA234" s="158" t="e">
        <f>ROUND($S234+(Teams!$H$2*($U234-$W234)),0)</f>
        <v>#N/A</v>
      </c>
    </row>
    <row r="235" spans="2:27" ht="12.75">
      <c r="B235" s="158">
        <v>12</v>
      </c>
      <c r="C235" s="173" t="s">
        <v>269</v>
      </c>
      <c r="D235" s="262">
        <v>20</v>
      </c>
      <c r="E235" s="263">
        <v>26</v>
      </c>
      <c r="F235" s="177" t="s">
        <v>19</v>
      </c>
      <c r="G235" s="179" t="str">
        <f>INDEX(Teams!$B$5:$H$45,MATCH(Results!$C235,Teams!$B$5:$B$45,0),3)</f>
        <v>St John's Castle</v>
      </c>
      <c r="H235" s="179" t="str">
        <f>INDEX(Teams!$B$5:$H$45,MATCH(Results!$C235,Teams!$B$5:$B$45,0),5)</f>
        <v>Sequoia</v>
      </c>
      <c r="I235" s="152" t="str">
        <f>INDEX(Teams!$B$5:$H$45,MATCH(Results!$C235,Teams!$B$5:$B$45,0),6)</f>
        <v>STJN</v>
      </c>
      <c r="J235" s="152" t="str">
        <f>INDEX(Teams!$B$5:$H$45,MATCH(Results!$F235,Teams!$B$5:$B$45,0),6)</f>
        <v>ALZD</v>
      </c>
      <c r="K235" s="69" t="str">
        <f t="shared" si="33"/>
        <v>STJNALZD</v>
      </c>
      <c r="L235" s="68" t="str">
        <f t="shared" si="34"/>
        <v>ALZD</v>
      </c>
      <c r="M235" s="68">
        <f t="shared" si="35"/>
        <v>1</v>
      </c>
      <c r="N235" s="68">
        <f t="shared" si="36"/>
        <v>6</v>
      </c>
      <c r="O235" s="68" t="str">
        <f t="shared" si="37"/>
        <v>Away</v>
      </c>
      <c r="P235" s="68" t="str">
        <f t="shared" si="38"/>
        <v>STJN12</v>
      </c>
      <c r="Q235" s="68" t="str">
        <f t="shared" si="39"/>
        <v>ALZD12</v>
      </c>
      <c r="R235" s="68">
        <f>INDEX(RankPoints!$B$4:$AK$19,$B235+1,MATCH(Results!$I235,RankPoints!$B$4:$AK$4,0))</f>
        <v>3212</v>
      </c>
      <c r="S235" s="68">
        <f>INDEX(RankPoints!$B$4:$AK$19,$B235+1,MATCH(Results!$J235,RankPoints!$B$4:$AK$4,0))</f>
        <v>1583</v>
      </c>
      <c r="T235" s="68">
        <f t="shared" si="40"/>
        <v>0</v>
      </c>
      <c r="U235" s="155">
        <f t="shared" si="41"/>
        <v>1</v>
      </c>
      <c r="V235" s="156">
        <f>1/(1+(10^($X235/'[1]Teams'!$F$3)))</f>
        <v>8.46180960526117E-05</v>
      </c>
      <c r="W235" s="157">
        <f>1/(1+(10^($Y235/'[1]Teams'!$F$3)))</f>
        <v>0.9999153819039475</v>
      </c>
      <c r="X235" s="68">
        <f t="shared" si="42"/>
        <v>1629</v>
      </c>
      <c r="Y235" s="155">
        <f t="shared" si="43"/>
        <v>-1629</v>
      </c>
      <c r="Z235" s="68">
        <f>ROUND($R235+(Teams!$H$2*($T235-$V235)),0)</f>
        <v>3212</v>
      </c>
      <c r="AA235" s="158">
        <f>ROUND($S235+(Teams!$H$2*($U235-$W235)),0)</f>
        <v>1583</v>
      </c>
    </row>
    <row r="236" spans="2:27" ht="12.75">
      <c r="B236" s="158">
        <v>12</v>
      </c>
      <c r="C236" s="173" t="s">
        <v>117</v>
      </c>
      <c r="D236" s="262">
        <v>19</v>
      </c>
      <c r="E236" s="263">
        <v>6</v>
      </c>
      <c r="F236" s="177" t="s">
        <v>112</v>
      </c>
      <c r="G236" s="179" t="str">
        <f>INDEX(Teams!$B$5:$H$45,MATCH(Results!$C236,Teams!$B$5:$B$45,0),3)</f>
        <v>Rimben Park</v>
      </c>
      <c r="H236" s="179" t="str">
        <f>INDEX(Teams!$B$5:$H$45,MATCH(Results!$C236,Teams!$B$5:$B$45,0),5)</f>
        <v>Sequoia</v>
      </c>
      <c r="I236" s="152" t="str">
        <f>INDEX(Teams!$B$5:$H$45,MATCH(Results!$C236,Teams!$B$5:$B$45,0),6)</f>
        <v>ALUT</v>
      </c>
      <c r="J236" s="152" t="str">
        <f>INDEX(Teams!$B$5:$H$45,MATCH(Results!$F236,Teams!$B$5:$B$45,0),6)</f>
        <v>FHST</v>
      </c>
      <c r="K236" s="69" t="str">
        <f t="shared" si="33"/>
        <v>ALUTFHST</v>
      </c>
      <c r="L236" s="68" t="str">
        <f t="shared" si="34"/>
        <v>ALUT</v>
      </c>
      <c r="M236" s="68">
        <f t="shared" si="35"/>
        <v>1</v>
      </c>
      <c r="N236" s="68">
        <f t="shared" si="36"/>
        <v>13</v>
      </c>
      <c r="O236" s="68" t="str">
        <f t="shared" si="37"/>
        <v>Home</v>
      </c>
      <c r="P236" s="68" t="str">
        <f t="shared" si="38"/>
        <v>ALUT12</v>
      </c>
      <c r="Q236" s="68" t="str">
        <f t="shared" si="39"/>
        <v>FHST12</v>
      </c>
      <c r="R236" s="68" t="e">
        <f>INDEX(RankPoints!$B$4:$AK$19,$B236+1,MATCH(Results!$I236,RankPoints!$B$4:$AK$4,0))</f>
        <v>#N/A</v>
      </c>
      <c r="S236" s="68">
        <f>INDEX(RankPoints!$B$4:$AK$19,$B236+1,MATCH(Results!$J236,RankPoints!$B$4:$AK$4,0))</f>
        <v>-104</v>
      </c>
      <c r="T236" s="68">
        <f t="shared" si="40"/>
        <v>1</v>
      </c>
      <c r="U236" s="155">
        <f t="shared" si="41"/>
        <v>0</v>
      </c>
      <c r="V236" s="156" t="e">
        <f>1/(1+(10^($X236/'[1]Teams'!$F$3)))</f>
        <v>#N/A</v>
      </c>
      <c r="W236" s="157" t="e">
        <f>1/(1+(10^($Y236/'[1]Teams'!$F$3)))</f>
        <v>#N/A</v>
      </c>
      <c r="X236" s="68" t="e">
        <f t="shared" si="42"/>
        <v>#N/A</v>
      </c>
      <c r="Y236" s="155" t="e">
        <f t="shared" si="43"/>
        <v>#N/A</v>
      </c>
      <c r="Z236" s="68" t="e">
        <f>ROUND($R236+(Teams!$H$2*($T236-$V236)),0)</f>
        <v>#N/A</v>
      </c>
      <c r="AA236" s="158" t="e">
        <f>ROUND($S236+(Teams!$H$2*($U236-$W236)),0)</f>
        <v>#N/A</v>
      </c>
    </row>
    <row r="237" spans="2:27" ht="12.75">
      <c r="B237" s="158">
        <v>12</v>
      </c>
      <c r="C237" s="173" t="s">
        <v>265</v>
      </c>
      <c r="D237" s="262">
        <v>3</v>
      </c>
      <c r="E237" s="263">
        <v>14</v>
      </c>
      <c r="F237" s="177" t="s">
        <v>119</v>
      </c>
      <c r="G237" s="179" t="str">
        <f>INDEX(Teams!$B$5:$H$45,MATCH(Results!$C237,Teams!$B$5:$B$45,0),3)</f>
        <v>Extraterrestrial Dome of Sport</v>
      </c>
      <c r="H237" s="179" t="str">
        <f>INDEX(Teams!$B$5:$H$45,MATCH(Results!$C237,Teams!$B$5:$B$45,0),5)</f>
        <v>Sequoia</v>
      </c>
      <c r="I237" s="152" t="str">
        <f>INDEX(Teams!$B$5:$H$45,MATCH(Results!$C237,Teams!$B$5:$B$45,0),6)</f>
        <v>ACSP</v>
      </c>
      <c r="J237" s="152" t="str">
        <f>INDEX(Teams!$B$5:$H$45,MATCH(Results!$F237,Teams!$B$5:$B$45,0),6)</f>
        <v>NETT</v>
      </c>
      <c r="K237" s="69" t="str">
        <f t="shared" si="33"/>
        <v>ACSPNETT</v>
      </c>
      <c r="L237" s="68" t="str">
        <f t="shared" si="34"/>
        <v>NETT</v>
      </c>
      <c r="M237" s="68">
        <f t="shared" si="35"/>
        <v>1</v>
      </c>
      <c r="N237" s="68">
        <f t="shared" si="36"/>
        <v>11</v>
      </c>
      <c r="O237" s="68" t="str">
        <f t="shared" si="37"/>
        <v>Away</v>
      </c>
      <c r="P237" s="68" t="str">
        <f t="shared" si="38"/>
        <v>ACSP12</v>
      </c>
      <c r="Q237" s="68" t="str">
        <f t="shared" si="39"/>
        <v>NETT12</v>
      </c>
      <c r="R237" s="68" t="e">
        <f>INDEX(RankPoints!$B$4:$AK$19,$B237+1,MATCH(Results!$I237,RankPoints!$B$4:$AK$4,0))</f>
        <v>#N/A</v>
      </c>
      <c r="S237" s="68" t="e">
        <f>INDEX(RankPoints!$B$4:$AK$19,$B237+1,MATCH(Results!$J237,RankPoints!$B$4:$AK$4,0))</f>
        <v>#N/A</v>
      </c>
      <c r="T237" s="68">
        <f t="shared" si="40"/>
        <v>0</v>
      </c>
      <c r="U237" s="155">
        <f t="shared" si="41"/>
        <v>1</v>
      </c>
      <c r="V237" s="156" t="e">
        <f>1/(1+(10^($X237/'[1]Teams'!$F$3)))</f>
        <v>#N/A</v>
      </c>
      <c r="W237" s="157" t="e">
        <f>1/(1+(10^($Y237/'[1]Teams'!$F$3)))</f>
        <v>#N/A</v>
      </c>
      <c r="X237" s="68" t="e">
        <f t="shared" si="42"/>
        <v>#N/A</v>
      </c>
      <c r="Y237" s="155" t="e">
        <f t="shared" si="43"/>
        <v>#N/A</v>
      </c>
      <c r="Z237" s="68" t="e">
        <f>ROUND($R237+(Teams!$H$2*($T237-$V237)),0)</f>
        <v>#N/A</v>
      </c>
      <c r="AA237" s="158" t="e">
        <f>ROUND($S237+(Teams!$H$2*($U237-$W237)),0)</f>
        <v>#N/A</v>
      </c>
    </row>
    <row r="238" spans="2:27" ht="12.75">
      <c r="B238" s="158">
        <v>12</v>
      </c>
      <c r="C238" s="173" t="s">
        <v>79</v>
      </c>
      <c r="D238" s="262">
        <v>54</v>
      </c>
      <c r="E238" s="263">
        <v>3</v>
      </c>
      <c r="F238" s="177" t="s">
        <v>111</v>
      </c>
      <c r="G238" s="179" t="str">
        <f>INDEX(Teams!$B$5:$H$45,MATCH(Results!$C238,Teams!$B$5:$B$45,0),3)</f>
        <v>Anatidae Field</v>
      </c>
      <c r="H238" s="179" t="str">
        <f>INDEX(Teams!$B$5:$H$45,MATCH(Results!$C238,Teams!$B$5:$B$45,0),5)</f>
        <v>Sequoia</v>
      </c>
      <c r="I238" s="152" t="str">
        <f>INDEX(Teams!$B$5:$H$45,MATCH(Results!$C238,Teams!$B$5:$B$45,0),6)</f>
        <v>RVMD</v>
      </c>
      <c r="J238" s="152" t="str">
        <f>INDEX(Teams!$B$5:$H$45,MATCH(Results!$F238,Teams!$B$5:$B$45,0),6)</f>
        <v>NRDN</v>
      </c>
      <c r="K238" s="69" t="str">
        <f t="shared" si="33"/>
        <v>RVMDNRDN</v>
      </c>
      <c r="L238" s="68" t="str">
        <f t="shared" si="34"/>
        <v>RVMD</v>
      </c>
      <c r="M238" s="68">
        <f t="shared" si="35"/>
        <v>1</v>
      </c>
      <c r="N238" s="68">
        <f t="shared" si="36"/>
        <v>51</v>
      </c>
      <c r="O238" s="68" t="str">
        <f t="shared" si="37"/>
        <v>Home</v>
      </c>
      <c r="P238" s="68" t="str">
        <f t="shared" si="38"/>
        <v>RVMD12</v>
      </c>
      <c r="Q238" s="68" t="str">
        <f t="shared" si="39"/>
        <v>NRDN12</v>
      </c>
      <c r="R238" s="68">
        <f>INDEX(RankPoints!$B$4:$AK$19,$B238+1,MATCH(Results!$I238,RankPoints!$B$4:$AK$4,0))</f>
        <v>-2972</v>
      </c>
      <c r="S238" s="68">
        <f>INDEX(RankPoints!$B$4:$AK$19,$B238+1,MATCH(Results!$J238,RankPoints!$B$4:$AK$4,0))</f>
        <v>-6305</v>
      </c>
      <c r="T238" s="68">
        <f t="shared" si="40"/>
        <v>1</v>
      </c>
      <c r="U238" s="155">
        <f t="shared" si="41"/>
        <v>0</v>
      </c>
      <c r="V238" s="156">
        <f>1/(1+(10^($X238/'[1]Teams'!$F$3)))</f>
        <v>4.650503740038868E-09</v>
      </c>
      <c r="W238" s="157">
        <f>1/(1+(10^($Y238/'[1]Teams'!$F$3)))</f>
        <v>0.9999999953494962</v>
      </c>
      <c r="X238" s="68">
        <f t="shared" si="42"/>
        <v>3333</v>
      </c>
      <c r="Y238" s="155">
        <f t="shared" si="43"/>
        <v>-3333</v>
      </c>
      <c r="Z238" s="68">
        <f>ROUND($R238+(Teams!$H$2*($T238-$V238)),0)</f>
        <v>-2940</v>
      </c>
      <c r="AA238" s="158">
        <f>ROUND($S238+(Teams!$H$2*($U238-$W238)),0)</f>
        <v>-6337</v>
      </c>
    </row>
    <row r="239" spans="2:27" ht="12.75">
      <c r="B239" s="158">
        <v>12</v>
      </c>
      <c r="C239" s="173" t="s">
        <v>152</v>
      </c>
      <c r="D239" s="262">
        <v>33</v>
      </c>
      <c r="E239" s="263">
        <v>0</v>
      </c>
      <c r="F239" s="177" t="s">
        <v>255</v>
      </c>
      <c r="G239" s="179" t="str">
        <f>INDEX(Teams!$B$5:$H$45,MATCH(Results!$C239,Teams!$B$5:$B$45,0),3)</f>
        <v>Trent Community Park</v>
      </c>
      <c r="H239" s="179" t="str">
        <f>INDEX(Teams!$B$5:$H$45,MATCH(Results!$C239,Teams!$B$5:$B$45,0),5)</f>
        <v>Woodlands</v>
      </c>
      <c r="I239" s="152" t="str">
        <f>INDEX(Teams!$B$5:$H$45,MATCH(Results!$C239,Teams!$B$5:$B$45,0),6)</f>
        <v>WALT</v>
      </c>
      <c r="J239" s="152" t="str">
        <f>INDEX(Teams!$B$5:$H$45,MATCH(Results!$F239,Teams!$B$5:$B$45,0),6)</f>
        <v>HUDS</v>
      </c>
      <c r="K239" s="69" t="str">
        <f t="shared" si="33"/>
        <v>WALTHUDS</v>
      </c>
      <c r="L239" s="68" t="str">
        <f t="shared" si="34"/>
        <v>WALT</v>
      </c>
      <c r="M239" s="68">
        <f t="shared" si="35"/>
        <v>1</v>
      </c>
      <c r="N239" s="68">
        <f t="shared" si="36"/>
        <v>33</v>
      </c>
      <c r="O239" s="68" t="str">
        <f t="shared" si="37"/>
        <v>Home</v>
      </c>
      <c r="P239" s="68" t="str">
        <f t="shared" si="38"/>
        <v>WALT12</v>
      </c>
      <c r="Q239" s="68" t="str">
        <f t="shared" si="39"/>
        <v>HUDS12</v>
      </c>
      <c r="R239" s="68" t="e">
        <f>INDEX(RankPoints!$B$4:$AK$19,$B239+1,MATCH(Results!$I239,RankPoints!$B$4:$AK$4,0))</f>
        <v>#N/A</v>
      </c>
      <c r="S239" s="68" t="e">
        <f>INDEX(RankPoints!$B$4:$AK$19,$B239+1,MATCH(Results!$J239,RankPoints!$B$4:$AK$4,0))</f>
        <v>#N/A</v>
      </c>
      <c r="T239" s="68">
        <f t="shared" si="40"/>
        <v>1</v>
      </c>
      <c r="U239" s="155">
        <f t="shared" si="41"/>
        <v>0</v>
      </c>
      <c r="V239" s="156" t="e">
        <f>1/(1+(10^($X239/'[1]Teams'!$F$3)))</f>
        <v>#N/A</v>
      </c>
      <c r="W239" s="157" t="e">
        <f>1/(1+(10^($Y239/'[1]Teams'!$F$3)))</f>
        <v>#N/A</v>
      </c>
      <c r="X239" s="68" t="e">
        <f t="shared" si="42"/>
        <v>#N/A</v>
      </c>
      <c r="Y239" s="155" t="e">
        <f t="shared" si="43"/>
        <v>#N/A</v>
      </c>
      <c r="Z239" s="68" t="e">
        <f>ROUND($R239+(Teams!$H$2*($T239-$V239)),0)</f>
        <v>#N/A</v>
      </c>
      <c r="AA239" s="158" t="e">
        <f>ROUND($S239+(Teams!$H$2*($U239-$W239)),0)</f>
        <v>#N/A</v>
      </c>
    </row>
    <row r="240" spans="2:27" ht="12.75">
      <c r="B240" s="158">
        <v>12</v>
      </c>
      <c r="C240" s="173" t="s">
        <v>78</v>
      </c>
      <c r="D240" s="262">
        <v>19</v>
      </c>
      <c r="E240" s="263">
        <v>0</v>
      </c>
      <c r="F240" s="177" t="s">
        <v>158</v>
      </c>
      <c r="G240" s="179" t="str">
        <f>INDEX(Teams!$B$5:$H$45,MATCH(Results!$C240,Teams!$B$5:$B$45,0),3)</f>
        <v>Red Plains Stadium</v>
      </c>
      <c r="H240" s="179" t="str">
        <f>INDEX(Teams!$B$5:$H$45,MATCH(Results!$C240,Teams!$B$5:$B$45,0),5)</f>
        <v>Woodlands</v>
      </c>
      <c r="I240" s="152" t="str">
        <f>INDEX(Teams!$B$5:$H$45,MATCH(Results!$C240,Teams!$B$5:$B$45,0),6)</f>
        <v>FRBB</v>
      </c>
      <c r="J240" s="152" t="str">
        <f>INDEX(Teams!$B$5:$H$45,MATCH(Results!$F240,Teams!$B$5:$B$45,0),6)</f>
        <v>TOUF</v>
      </c>
      <c r="K240" s="69" t="str">
        <f t="shared" si="33"/>
        <v>FRBBTOUF</v>
      </c>
      <c r="L240" s="68" t="str">
        <f t="shared" si="34"/>
        <v>FRBB</v>
      </c>
      <c r="M240" s="68">
        <f t="shared" si="35"/>
        <v>1</v>
      </c>
      <c r="N240" s="68">
        <f t="shared" si="36"/>
        <v>19</v>
      </c>
      <c r="O240" s="68" t="str">
        <f t="shared" si="37"/>
        <v>Home</v>
      </c>
      <c r="P240" s="68" t="str">
        <f t="shared" si="38"/>
        <v>FRBB12</v>
      </c>
      <c r="Q240" s="68" t="str">
        <f t="shared" si="39"/>
        <v>TOUF12</v>
      </c>
      <c r="R240" s="68">
        <f>INDEX(RankPoints!$B$4:$AK$19,$B240+1,MATCH(Results!$I240,RankPoints!$B$4:$AK$4,0))</f>
        <v>326</v>
      </c>
      <c r="S240" s="68" t="e">
        <f>INDEX(RankPoints!$B$4:$AK$19,$B240+1,MATCH(Results!$J240,RankPoints!$B$4:$AK$4,0))</f>
        <v>#N/A</v>
      </c>
      <c r="T240" s="68">
        <f t="shared" si="40"/>
        <v>1</v>
      </c>
      <c r="U240" s="155">
        <f t="shared" si="41"/>
        <v>0</v>
      </c>
      <c r="V240" s="156" t="e">
        <f>1/(1+(10^($X240/'[1]Teams'!$F$3)))</f>
        <v>#N/A</v>
      </c>
      <c r="W240" s="157" t="e">
        <f>1/(1+(10^($Y240/'[1]Teams'!$F$3)))</f>
        <v>#N/A</v>
      </c>
      <c r="X240" s="68" t="e">
        <f t="shared" si="42"/>
        <v>#N/A</v>
      </c>
      <c r="Y240" s="155" t="e">
        <f t="shared" si="43"/>
        <v>#N/A</v>
      </c>
      <c r="Z240" s="68" t="e">
        <f>ROUND($R240+(Teams!$H$2*($T240-$V240)),0)</f>
        <v>#N/A</v>
      </c>
      <c r="AA240" s="158" t="e">
        <f>ROUND($S240+(Teams!$H$2*($U240-$W240)),0)</f>
        <v>#N/A</v>
      </c>
    </row>
    <row r="241" spans="2:27" ht="12.75">
      <c r="B241" s="158">
        <v>12</v>
      </c>
      <c r="C241" s="173" t="s">
        <v>127</v>
      </c>
      <c r="D241" s="262">
        <v>22</v>
      </c>
      <c r="E241" s="263">
        <v>13</v>
      </c>
      <c r="F241" s="177" t="s">
        <v>109</v>
      </c>
      <c r="G241" s="179" t="str">
        <f>INDEX(Teams!$B$5:$H$45,MATCH(Results!$C241,Teams!$B$5:$B$45,0),3)</f>
        <v>Glenn Memorial Stadium</v>
      </c>
      <c r="H241" s="179" t="str">
        <f>INDEX(Teams!$B$5:$H$45,MATCH(Results!$C241,Teams!$B$5:$B$45,0),5)</f>
        <v>Woodlands</v>
      </c>
      <c r="I241" s="152" t="str">
        <f>INDEX(Teams!$B$5:$H$45,MATCH(Results!$C241,Teams!$B$5:$B$45,0),6)</f>
        <v>BUCK</v>
      </c>
      <c r="J241" s="152" t="str">
        <f>INDEX(Teams!$B$5:$H$45,MATCH(Results!$F241,Teams!$B$5:$B$45,0),6)</f>
        <v>ARKN</v>
      </c>
      <c r="K241" s="69" t="str">
        <f t="shared" si="33"/>
        <v>BUCKARKN</v>
      </c>
      <c r="L241" s="68" t="str">
        <f t="shared" si="34"/>
        <v>BUCK</v>
      </c>
      <c r="M241" s="68">
        <f t="shared" si="35"/>
        <v>1</v>
      </c>
      <c r="N241" s="68">
        <f t="shared" si="36"/>
        <v>9</v>
      </c>
      <c r="O241" s="68" t="str">
        <f t="shared" si="37"/>
        <v>Home</v>
      </c>
      <c r="P241" s="68" t="str">
        <f t="shared" si="38"/>
        <v>BUCK12</v>
      </c>
      <c r="Q241" s="68" t="str">
        <f t="shared" si="39"/>
        <v>ARKN12</v>
      </c>
      <c r="R241" s="68" t="e">
        <f>INDEX(RankPoints!$B$4:$AK$19,$B241+1,MATCH(Results!$I241,RankPoints!$B$4:$AK$4,0))</f>
        <v>#N/A</v>
      </c>
      <c r="S241" s="68">
        <f>INDEX(RankPoints!$B$4:$AK$19,$B241+1,MATCH(Results!$J241,RankPoints!$B$4:$AK$4,0))</f>
        <v>448</v>
      </c>
      <c r="T241" s="68">
        <f t="shared" si="40"/>
        <v>1</v>
      </c>
      <c r="U241" s="155">
        <f t="shared" si="41"/>
        <v>0</v>
      </c>
      <c r="V241" s="156" t="e">
        <f>1/(1+(10^($X241/'[1]Teams'!$F$3)))</f>
        <v>#N/A</v>
      </c>
      <c r="W241" s="157" t="e">
        <f>1/(1+(10^($Y241/'[1]Teams'!$F$3)))</f>
        <v>#N/A</v>
      </c>
      <c r="X241" s="68" t="e">
        <f t="shared" si="42"/>
        <v>#N/A</v>
      </c>
      <c r="Y241" s="155" t="e">
        <f t="shared" si="43"/>
        <v>#N/A</v>
      </c>
      <c r="Z241" s="68" t="e">
        <f>ROUND($R241+(Teams!$H$2*($T241-$V241)),0)</f>
        <v>#N/A</v>
      </c>
      <c r="AA241" s="158" t="e">
        <f>ROUND($S241+(Teams!$H$2*($U241-$W241)),0)</f>
        <v>#N/A</v>
      </c>
    </row>
    <row r="242" spans="2:27" ht="12.75">
      <c r="B242" s="158">
        <v>12</v>
      </c>
      <c r="C242" s="173" t="s">
        <v>110</v>
      </c>
      <c r="D242" s="262">
        <v>10</v>
      </c>
      <c r="E242" s="263">
        <v>0</v>
      </c>
      <c r="F242" s="177" t="s">
        <v>125</v>
      </c>
      <c r="G242" s="179" t="str">
        <f>INDEX(Teams!$B$5:$H$45,MATCH(Results!$C242,Teams!$B$5:$B$45,0),3)</f>
        <v>Martin Connors Memorial Field</v>
      </c>
      <c r="H242" s="179" t="str">
        <f>INDEX(Teams!$B$5:$H$45,MATCH(Results!$C242,Teams!$B$5:$B$45,0),5)</f>
        <v>Woodlands</v>
      </c>
      <c r="I242" s="152" t="str">
        <f>INDEX(Teams!$B$5:$H$45,MATCH(Results!$C242,Teams!$B$5:$B$45,0),6)</f>
        <v>UTCA</v>
      </c>
      <c r="J242" s="152" t="str">
        <f>INDEX(Teams!$B$5:$H$45,MATCH(Results!$F242,Teams!$B$5:$B$45,0),6)</f>
        <v>JGZA</v>
      </c>
      <c r="K242" s="69" t="str">
        <f t="shared" si="33"/>
        <v>UTCAJGZA</v>
      </c>
      <c r="L242" s="68" t="str">
        <f t="shared" si="34"/>
        <v>UTCA</v>
      </c>
      <c r="M242" s="68">
        <f t="shared" si="35"/>
        <v>1</v>
      </c>
      <c r="N242" s="68">
        <f t="shared" si="36"/>
        <v>10</v>
      </c>
      <c r="O242" s="68" t="str">
        <f t="shared" si="37"/>
        <v>Home</v>
      </c>
      <c r="P242" s="68" t="str">
        <f t="shared" si="38"/>
        <v>UTCA12</v>
      </c>
      <c r="Q242" s="68" t="str">
        <f t="shared" si="39"/>
        <v>JGZA12</v>
      </c>
      <c r="R242" s="68">
        <f>INDEX(RankPoints!$B$4:$AK$19,$B242+1,MATCH(Results!$I242,RankPoints!$B$4:$AK$4,0))</f>
        <v>353</v>
      </c>
      <c r="S242" s="68" t="e">
        <f>INDEX(RankPoints!$B$4:$AK$19,$B242+1,MATCH(Results!$J242,RankPoints!$B$4:$AK$4,0))</f>
        <v>#N/A</v>
      </c>
      <c r="T242" s="68">
        <f t="shared" si="40"/>
        <v>1</v>
      </c>
      <c r="U242" s="155">
        <f t="shared" si="41"/>
        <v>0</v>
      </c>
      <c r="V242" s="156" t="e">
        <f>1/(1+(10^($X242/'[1]Teams'!$F$3)))</f>
        <v>#N/A</v>
      </c>
      <c r="W242" s="157" t="e">
        <f>1/(1+(10^($Y242/'[1]Teams'!$F$3)))</f>
        <v>#N/A</v>
      </c>
      <c r="X242" s="68" t="e">
        <f t="shared" si="42"/>
        <v>#N/A</v>
      </c>
      <c r="Y242" s="155" t="e">
        <f t="shared" si="43"/>
        <v>#N/A</v>
      </c>
      <c r="Z242" s="68" t="e">
        <f>ROUND($R242+(Teams!$H$2*($T242-$V242)),0)</f>
        <v>#N/A</v>
      </c>
      <c r="AA242" s="158" t="e">
        <f>ROUND($S242+(Teams!$H$2*($U242-$W242)),0)</f>
        <v>#N/A</v>
      </c>
    </row>
    <row r="243" spans="2:27" ht="12.75">
      <c r="B243" s="158">
        <v>13</v>
      </c>
      <c r="C243" s="173" t="s">
        <v>154</v>
      </c>
      <c r="D243" s="262">
        <v>3</v>
      </c>
      <c r="E243" s="263">
        <v>26</v>
      </c>
      <c r="F243" s="177" t="s">
        <v>271</v>
      </c>
      <c r="G243" s="179" t="str">
        <f>INDEX(Teams!$B$5:$H$45,MATCH(Results!$C243,Teams!$B$5:$B$45,0),3)</f>
        <v>Nobel Stadium</v>
      </c>
      <c r="H243" s="179" t="str">
        <f>INDEX(Teams!$B$5:$H$45,MATCH(Results!$C243,Teams!$B$5:$B$45,0),5)</f>
        <v>Big Eight</v>
      </c>
      <c r="I243" s="152" t="str">
        <f>INDEX(Teams!$B$5:$H$45,MATCH(Results!$C243,Teams!$B$5:$B$45,0),6)</f>
        <v>NOBL</v>
      </c>
      <c r="J243" s="152" t="str">
        <f>INDEX(Teams!$B$5:$H$45,MATCH(Results!$F243,Teams!$B$5:$B$45,0),6)</f>
        <v>WAA</v>
      </c>
      <c r="K243" s="69" t="str">
        <f t="shared" si="33"/>
        <v>NOBLWAA</v>
      </c>
      <c r="L243" s="68" t="str">
        <f t="shared" si="34"/>
        <v>WAA</v>
      </c>
      <c r="M243" s="68">
        <f t="shared" si="35"/>
        <v>1</v>
      </c>
      <c r="N243" s="68">
        <f t="shared" si="36"/>
        <v>23</v>
      </c>
      <c r="O243" s="68" t="str">
        <f t="shared" si="37"/>
        <v>Away</v>
      </c>
      <c r="P243" s="68" t="str">
        <f t="shared" si="38"/>
        <v>NOBL13</v>
      </c>
      <c r="Q243" s="68" t="str">
        <f t="shared" si="39"/>
        <v>WAA13</v>
      </c>
      <c r="R243" s="68" t="e">
        <f>INDEX(RankPoints!$B$4:$AK$19,$B243+1,MATCH(Results!$I243,RankPoints!$B$4:$AK$4,0))</f>
        <v>#N/A</v>
      </c>
      <c r="S243" s="68" t="e">
        <f>INDEX(RankPoints!$B$4:$AK$19,$B243+1,MATCH(Results!$J243,RankPoints!$B$4:$AK$4,0))</f>
        <v>#N/A</v>
      </c>
      <c r="T243" s="68">
        <f t="shared" si="40"/>
        <v>0</v>
      </c>
      <c r="U243" s="155">
        <f t="shared" si="41"/>
        <v>1</v>
      </c>
      <c r="V243" s="156" t="e">
        <f>1/(1+(10^($X243/'[1]Teams'!$F$3)))</f>
        <v>#N/A</v>
      </c>
      <c r="W243" s="157" t="e">
        <f>1/(1+(10^($Y243/'[1]Teams'!$F$3)))</f>
        <v>#N/A</v>
      </c>
      <c r="X243" s="68" t="e">
        <f t="shared" si="42"/>
        <v>#N/A</v>
      </c>
      <c r="Y243" s="155" t="e">
        <f t="shared" si="43"/>
        <v>#N/A</v>
      </c>
      <c r="Z243" s="68" t="e">
        <f>ROUND($R243+(Teams!$H$2*($T243-$V243)),0)</f>
        <v>#N/A</v>
      </c>
      <c r="AA243" s="158" t="e">
        <f>ROUND($S243+(Teams!$H$2*($U243-$W243)),0)</f>
        <v>#N/A</v>
      </c>
    </row>
    <row r="244" spans="2:27" ht="12.75">
      <c r="B244" s="158">
        <v>13</v>
      </c>
      <c r="C244" s="173" t="s">
        <v>124</v>
      </c>
      <c r="D244" s="262">
        <v>27</v>
      </c>
      <c r="E244" s="263">
        <v>13</v>
      </c>
      <c r="F244" s="177" t="s">
        <v>144</v>
      </c>
      <c r="G244" s="179" t="str">
        <f>INDEX(Teams!$B$5:$H$45,MATCH(Results!$C244,Teams!$B$5:$B$45,0),3)</f>
        <v>Bear Stadium</v>
      </c>
      <c r="H244" s="179" t="str">
        <f>INDEX(Teams!$B$5:$H$45,MATCH(Results!$C244,Teams!$B$5:$B$45,0),5)</f>
        <v>Big Eight</v>
      </c>
      <c r="I244" s="152" t="str">
        <f>INDEX(Teams!$B$5:$H$45,MATCH(Results!$C244,Teams!$B$5:$B$45,0),6)</f>
        <v>TIMC</v>
      </c>
      <c r="J244" s="152" t="str">
        <f>INDEX(Teams!$B$5:$H$45,MATCH(Results!$F244,Teams!$B$5:$B$45,0),6)</f>
        <v>ARLN</v>
      </c>
      <c r="K244" s="69" t="str">
        <f t="shared" si="33"/>
        <v>TIMCARLN</v>
      </c>
      <c r="L244" s="68" t="str">
        <f t="shared" si="34"/>
        <v>TIMC</v>
      </c>
      <c r="M244" s="68">
        <f t="shared" si="35"/>
        <v>1</v>
      </c>
      <c r="N244" s="68">
        <f t="shared" si="36"/>
        <v>14</v>
      </c>
      <c r="O244" s="68" t="str">
        <f t="shared" si="37"/>
        <v>Home</v>
      </c>
      <c r="P244" s="68" t="str">
        <f t="shared" si="38"/>
        <v>TIMC13</v>
      </c>
      <c r="Q244" s="68" t="str">
        <f t="shared" si="39"/>
        <v>ARLN13</v>
      </c>
      <c r="R244" s="68" t="e">
        <f>INDEX(RankPoints!$B$4:$AK$19,$B244+1,MATCH(Results!$I244,RankPoints!$B$4:$AK$4,0))</f>
        <v>#N/A</v>
      </c>
      <c r="S244" s="68" t="e">
        <f>INDEX(RankPoints!$B$4:$AK$19,$B244+1,MATCH(Results!$J244,RankPoints!$B$4:$AK$4,0))</f>
        <v>#N/A</v>
      </c>
      <c r="T244" s="68">
        <f t="shared" si="40"/>
        <v>1</v>
      </c>
      <c r="U244" s="155">
        <f t="shared" si="41"/>
        <v>0</v>
      </c>
      <c r="V244" s="156" t="e">
        <f>1/(1+(10^($X244/'[1]Teams'!$F$3)))</f>
        <v>#N/A</v>
      </c>
      <c r="W244" s="157" t="e">
        <f>1/(1+(10^($Y244/'[1]Teams'!$F$3)))</f>
        <v>#N/A</v>
      </c>
      <c r="X244" s="68" t="e">
        <f t="shared" si="42"/>
        <v>#N/A</v>
      </c>
      <c r="Y244" s="155" t="e">
        <f t="shared" si="43"/>
        <v>#N/A</v>
      </c>
      <c r="Z244" s="68" t="e">
        <f>ROUND($R244+(Teams!$H$2*($T244-$V244)),0)</f>
        <v>#N/A</v>
      </c>
      <c r="AA244" s="158" t="e">
        <f>ROUND($S244+(Teams!$H$2*($U244-$W244)),0)</f>
        <v>#N/A</v>
      </c>
    </row>
    <row r="245" spans="2:27" ht="12.75">
      <c r="B245" s="158">
        <v>13</v>
      </c>
      <c r="C245" s="173" t="s">
        <v>76</v>
      </c>
      <c r="D245" s="262">
        <v>17</v>
      </c>
      <c r="E245" s="263">
        <v>14</v>
      </c>
      <c r="F245" s="177" t="s">
        <v>270</v>
      </c>
      <c r="G245" s="179" t="str">
        <f>INDEX(Teams!$B$5:$H$45,MATCH(Results!$C245,Teams!$B$5:$B$45,0),3)</f>
        <v>Bronco Stadium</v>
      </c>
      <c r="H245" s="179" t="str">
        <f>INDEX(Teams!$B$5:$H$45,MATCH(Results!$C245,Teams!$B$5:$B$45,0),5)</f>
        <v>Big Eight</v>
      </c>
      <c r="I245" s="152" t="str">
        <f>INDEX(Teams!$B$5:$H$45,MATCH(Results!$C245,Teams!$B$5:$B$45,0),6)</f>
        <v>SCTT</v>
      </c>
      <c r="J245" s="152" t="str">
        <f>INDEX(Teams!$B$5:$H$45,MATCH(Results!$F245,Teams!$B$5:$B$45,0),6)</f>
        <v>BUGN</v>
      </c>
      <c r="K245" s="69" t="str">
        <f t="shared" si="33"/>
        <v>SCTTBUGN</v>
      </c>
      <c r="L245" s="68" t="str">
        <f t="shared" si="34"/>
        <v>SCTT</v>
      </c>
      <c r="M245" s="68">
        <f t="shared" si="35"/>
        <v>1</v>
      </c>
      <c r="N245" s="68">
        <f t="shared" si="36"/>
        <v>3</v>
      </c>
      <c r="O245" s="68" t="str">
        <f t="shared" si="37"/>
        <v>Home</v>
      </c>
      <c r="P245" s="68" t="str">
        <f t="shared" si="38"/>
        <v>SCTT13</v>
      </c>
      <c r="Q245" s="68" t="str">
        <f t="shared" si="39"/>
        <v>BUGN13</v>
      </c>
      <c r="R245" s="68">
        <f>INDEX(RankPoints!$B$4:$AK$19,$B245+1,MATCH(Results!$I245,RankPoints!$B$4:$AK$4,0))</f>
        <v>1651</v>
      </c>
      <c r="S245" s="68">
        <f>INDEX(RankPoints!$B$4:$AK$19,$B245+1,MATCH(Results!$J245,RankPoints!$B$4:$AK$4,0))</f>
        <v>-1516</v>
      </c>
      <c r="T245" s="68">
        <f t="shared" si="40"/>
        <v>1</v>
      </c>
      <c r="U245" s="155">
        <f t="shared" si="41"/>
        <v>0</v>
      </c>
      <c r="V245" s="156">
        <f>1/(1+(10^($X245/'[1]Teams'!$F$3)))</f>
        <v>1.2092051683214338E-08</v>
      </c>
      <c r="W245" s="157">
        <f>1/(1+(10^($Y245/'[1]Teams'!$F$3)))</f>
        <v>0.9999999879079483</v>
      </c>
      <c r="X245" s="68">
        <f t="shared" si="42"/>
        <v>3167</v>
      </c>
      <c r="Y245" s="155">
        <f t="shared" si="43"/>
        <v>-3167</v>
      </c>
      <c r="Z245" s="68">
        <f>ROUND($R245+(Teams!$H$2*($T245-$V245)),0)</f>
        <v>1683</v>
      </c>
      <c r="AA245" s="158">
        <f>ROUND($S245+(Teams!$H$2*($U245-$W245)),0)</f>
        <v>-1548</v>
      </c>
    </row>
    <row r="246" spans="2:27" ht="12.75">
      <c r="B246" s="158">
        <v>13</v>
      </c>
      <c r="C246" s="173" t="s">
        <v>77</v>
      </c>
      <c r="D246" s="262">
        <v>26</v>
      </c>
      <c r="E246" s="263">
        <v>0</v>
      </c>
      <c r="F246" s="177" t="s">
        <v>148</v>
      </c>
      <c r="G246" s="179" t="str">
        <f>INDEX(Teams!$B$5:$H$45,MATCH(Results!$C246,Teams!$B$5:$B$45,0),3)</f>
        <v>Montbenoit Dome</v>
      </c>
      <c r="H246" s="179" t="str">
        <f>INDEX(Teams!$B$5:$H$45,MATCH(Results!$C246,Teams!$B$5:$B$45,0),5)</f>
        <v>Big Eight</v>
      </c>
      <c r="I246" s="152" t="str">
        <f>INDEX(Teams!$B$5:$H$45,MATCH(Results!$C246,Teams!$B$5:$B$45,0),6)</f>
        <v>SAUG</v>
      </c>
      <c r="J246" s="152" t="str">
        <f>INDEX(Teams!$B$5:$H$45,MATCH(Results!$F246,Teams!$B$5:$B$45,0),6)</f>
        <v>RELK</v>
      </c>
      <c r="K246" s="69" t="str">
        <f t="shared" si="33"/>
        <v>SAUGRELK</v>
      </c>
      <c r="L246" s="68" t="str">
        <f t="shared" si="34"/>
        <v>SAUG</v>
      </c>
      <c r="M246" s="68">
        <f t="shared" si="35"/>
        <v>1</v>
      </c>
      <c r="N246" s="68">
        <f t="shared" si="36"/>
        <v>26</v>
      </c>
      <c r="O246" s="68" t="str">
        <f t="shared" si="37"/>
        <v>Home</v>
      </c>
      <c r="P246" s="68" t="str">
        <f t="shared" si="38"/>
        <v>SAUG13</v>
      </c>
      <c r="Q246" s="68" t="str">
        <f t="shared" si="39"/>
        <v>RELK13</v>
      </c>
      <c r="R246" s="68">
        <f>INDEX(RankPoints!$B$4:$AK$19,$B246+1,MATCH(Results!$I246,RankPoints!$B$4:$AK$4,0))</f>
        <v>1548</v>
      </c>
      <c r="S246" s="68" t="e">
        <f>INDEX(RankPoints!$B$4:$AK$19,$B246+1,MATCH(Results!$J246,RankPoints!$B$4:$AK$4,0))</f>
        <v>#N/A</v>
      </c>
      <c r="T246" s="68">
        <f t="shared" si="40"/>
        <v>1</v>
      </c>
      <c r="U246" s="155">
        <f t="shared" si="41"/>
        <v>0</v>
      </c>
      <c r="V246" s="156" t="e">
        <f>1/(1+(10^($X246/'[1]Teams'!$F$3)))</f>
        <v>#N/A</v>
      </c>
      <c r="W246" s="157" t="e">
        <f>1/(1+(10^($Y246/'[1]Teams'!$F$3)))</f>
        <v>#N/A</v>
      </c>
      <c r="X246" s="68" t="e">
        <f t="shared" si="42"/>
        <v>#N/A</v>
      </c>
      <c r="Y246" s="155" t="e">
        <f t="shared" si="43"/>
        <v>#N/A</v>
      </c>
      <c r="Z246" s="68" t="e">
        <f>ROUND($R246+(Teams!$H$2*($T246-$V246)),0)</f>
        <v>#N/A</v>
      </c>
      <c r="AA246" s="158" t="e">
        <f>ROUND($S246+(Teams!$H$2*($U246-$W246)),0)</f>
        <v>#N/A</v>
      </c>
    </row>
    <row r="247" spans="2:27" ht="12.75">
      <c r="B247" s="158">
        <v>13</v>
      </c>
      <c r="C247" s="173" t="s">
        <v>157</v>
      </c>
      <c r="D247" s="262">
        <v>0</v>
      </c>
      <c r="E247" s="263">
        <v>7</v>
      </c>
      <c r="F247" s="177" t="s">
        <v>248</v>
      </c>
      <c r="G247" s="179" t="str">
        <f>INDEX(Teams!$B$5:$H$45,MATCH(Results!$C247,Teams!$B$5:$B$45,0),3)</f>
        <v>Badger Stadium</v>
      </c>
      <c r="H247" s="179" t="str">
        <f>INDEX(Teams!$B$5:$H$45,MATCH(Results!$C247,Teams!$B$5:$B$45,0),5)</f>
        <v>Horizon</v>
      </c>
      <c r="I247" s="152" t="str">
        <f>INDEX(Teams!$B$5:$H$45,MATCH(Results!$C247,Teams!$B$5:$B$45,0),6)</f>
        <v>WIEN</v>
      </c>
      <c r="J247" s="152" t="str">
        <f>INDEX(Teams!$B$5:$H$45,MATCH(Results!$F247,Teams!$B$5:$B$45,0),6)</f>
        <v>COLD</v>
      </c>
      <c r="K247" s="69" t="str">
        <f t="shared" si="33"/>
        <v>WIENCOLD</v>
      </c>
      <c r="L247" s="68" t="str">
        <f t="shared" si="34"/>
        <v>COLD</v>
      </c>
      <c r="M247" s="68">
        <f t="shared" si="35"/>
        <v>1</v>
      </c>
      <c r="N247" s="68">
        <f t="shared" si="36"/>
        <v>7</v>
      </c>
      <c r="O247" s="68" t="str">
        <f t="shared" si="37"/>
        <v>Away</v>
      </c>
      <c r="P247" s="68" t="str">
        <f t="shared" si="38"/>
        <v>WIEN13</v>
      </c>
      <c r="Q247" s="68" t="str">
        <f t="shared" si="39"/>
        <v>COLD13</v>
      </c>
      <c r="R247" s="68" t="e">
        <f>INDEX(RankPoints!$B$4:$AK$19,$B247+1,MATCH(Results!$I247,RankPoints!$B$4:$AK$4,0))</f>
        <v>#N/A</v>
      </c>
      <c r="S247" s="68">
        <f>INDEX(RankPoints!$B$4:$AK$19,$B247+1,MATCH(Results!$J247,RankPoints!$B$4:$AK$4,0))</f>
        <v>2635</v>
      </c>
      <c r="T247" s="68">
        <f t="shared" si="40"/>
        <v>0</v>
      </c>
      <c r="U247" s="155">
        <f t="shared" si="41"/>
        <v>1</v>
      </c>
      <c r="V247" s="156" t="e">
        <f>1/(1+(10^($X247/'[1]Teams'!$F$3)))</f>
        <v>#N/A</v>
      </c>
      <c r="W247" s="157" t="e">
        <f>1/(1+(10^($Y247/'[1]Teams'!$F$3)))</f>
        <v>#N/A</v>
      </c>
      <c r="X247" s="68" t="e">
        <f t="shared" si="42"/>
        <v>#N/A</v>
      </c>
      <c r="Y247" s="155" t="e">
        <f t="shared" si="43"/>
        <v>#N/A</v>
      </c>
      <c r="Z247" s="68" t="e">
        <f>ROUND($R247+(Teams!$H$2*($T247-$V247)),0)</f>
        <v>#N/A</v>
      </c>
      <c r="AA247" s="158" t="e">
        <f>ROUND($S247+(Teams!$H$2*($U247-$W247)),0)</f>
        <v>#N/A</v>
      </c>
    </row>
    <row r="248" spans="2:27" ht="12.75">
      <c r="B248" s="158">
        <v>13</v>
      </c>
      <c r="C248" s="173" t="s">
        <v>149</v>
      </c>
      <c r="D248" s="262">
        <v>27</v>
      </c>
      <c r="E248" s="263">
        <v>10</v>
      </c>
      <c r="F248" s="177" t="s">
        <v>145</v>
      </c>
      <c r="G248" s="179" t="str">
        <f>INDEX(Teams!$B$5:$H$45,MATCH(Results!$C248,Teams!$B$5:$B$45,0),3)</f>
        <v>The Field of Industry</v>
      </c>
      <c r="H248" s="179" t="str">
        <f>INDEX(Teams!$B$5:$H$45,MATCH(Results!$C248,Teams!$B$5:$B$45,0),5)</f>
        <v>Horizon</v>
      </c>
      <c r="I248" s="152" t="str">
        <f>INDEX(Teams!$B$5:$H$45,MATCH(Results!$C248,Teams!$B$5:$B$45,0),6)</f>
        <v>USPN</v>
      </c>
      <c r="J248" s="152" t="str">
        <f>INDEX(Teams!$B$5:$H$45,MATCH(Results!$F248,Teams!$B$5:$B$45,0),6)</f>
        <v>INDN</v>
      </c>
      <c r="K248" s="69" t="str">
        <f t="shared" si="33"/>
        <v>USPNINDN</v>
      </c>
      <c r="L248" s="68" t="str">
        <f t="shared" si="34"/>
        <v>USPN</v>
      </c>
      <c r="M248" s="68">
        <f t="shared" si="35"/>
        <v>1</v>
      </c>
      <c r="N248" s="68">
        <f t="shared" si="36"/>
        <v>17</v>
      </c>
      <c r="O248" s="68" t="str">
        <f t="shared" si="37"/>
        <v>Home</v>
      </c>
      <c r="P248" s="68" t="str">
        <f t="shared" si="38"/>
        <v>USPN13</v>
      </c>
      <c r="Q248" s="68" t="str">
        <f t="shared" si="39"/>
        <v>INDN13</v>
      </c>
      <c r="R248" s="68" t="e">
        <f>INDEX(RankPoints!$B$4:$AK$19,$B248+1,MATCH(Results!$I248,RankPoints!$B$4:$AK$4,0))</f>
        <v>#N/A</v>
      </c>
      <c r="S248" s="68" t="e">
        <f>INDEX(RankPoints!$B$4:$AK$19,$B248+1,MATCH(Results!$J248,RankPoints!$B$4:$AK$4,0))</f>
        <v>#N/A</v>
      </c>
      <c r="T248" s="68">
        <f t="shared" si="40"/>
        <v>1</v>
      </c>
      <c r="U248" s="155">
        <f t="shared" si="41"/>
        <v>0</v>
      </c>
      <c r="V248" s="156" t="e">
        <f>1/(1+(10^($X248/'[1]Teams'!$F$3)))</f>
        <v>#N/A</v>
      </c>
      <c r="W248" s="157" t="e">
        <f>1/(1+(10^($Y248/'[1]Teams'!$F$3)))</f>
        <v>#N/A</v>
      </c>
      <c r="X248" s="68" t="e">
        <f t="shared" si="42"/>
        <v>#N/A</v>
      </c>
      <c r="Y248" s="155" t="e">
        <f t="shared" si="43"/>
        <v>#N/A</v>
      </c>
      <c r="Z248" s="68" t="e">
        <f>ROUND($R248+(Teams!$H$2*($T248-$V248)),0)</f>
        <v>#N/A</v>
      </c>
      <c r="AA248" s="158" t="e">
        <f>ROUND($S248+(Teams!$H$2*($U248-$W248)),0)</f>
        <v>#N/A</v>
      </c>
    </row>
    <row r="249" spans="2:27" ht="12.75">
      <c r="B249" s="158">
        <v>13</v>
      </c>
      <c r="C249" s="173" t="s">
        <v>151</v>
      </c>
      <c r="D249" s="262">
        <v>10</v>
      </c>
      <c r="E249" s="263">
        <v>20</v>
      </c>
      <c r="F249" s="177" t="s">
        <v>20</v>
      </c>
      <c r="G249" s="179" t="str">
        <f>INDEX(Teams!$B$5:$H$45,MATCH(Results!$C249,Teams!$B$5:$B$45,0),3)</f>
        <v>Olympic Stadiums</v>
      </c>
      <c r="H249" s="179" t="str">
        <f>INDEX(Teams!$B$5:$H$45,MATCH(Results!$C249,Teams!$B$5:$B$45,0),5)</f>
        <v>Horizon</v>
      </c>
      <c r="I249" s="152" t="str">
        <f>INDEX(Teams!$B$5:$H$45,MATCH(Results!$C249,Teams!$B$5:$B$45,0),6)</f>
        <v>OLYM</v>
      </c>
      <c r="J249" s="152" t="str">
        <f>INDEX(Teams!$B$5:$H$45,MATCH(Results!$F249,Teams!$B$5:$B$45,0),6)</f>
        <v>RCU</v>
      </c>
      <c r="K249" s="69" t="str">
        <f t="shared" si="33"/>
        <v>OLYMRCU</v>
      </c>
      <c r="L249" s="68" t="str">
        <f t="shared" si="34"/>
        <v>RCU</v>
      </c>
      <c r="M249" s="68">
        <f t="shared" si="35"/>
        <v>1</v>
      </c>
      <c r="N249" s="68">
        <f t="shared" si="36"/>
        <v>10</v>
      </c>
      <c r="O249" s="68" t="str">
        <f t="shared" si="37"/>
        <v>Away</v>
      </c>
      <c r="P249" s="68" t="str">
        <f t="shared" si="38"/>
        <v>OLYM13</v>
      </c>
      <c r="Q249" s="68" t="str">
        <f t="shared" si="39"/>
        <v>RCU13</v>
      </c>
      <c r="R249" s="68" t="e">
        <f>INDEX(RankPoints!$B$4:$AK$19,$B249+1,MATCH(Results!$I249,RankPoints!$B$4:$AK$4,0))</f>
        <v>#N/A</v>
      </c>
      <c r="S249" s="68">
        <f>INDEX(RankPoints!$B$4:$AK$19,$B249+1,MATCH(Results!$J249,RankPoints!$B$4:$AK$4,0))</f>
        <v>-1287</v>
      </c>
      <c r="T249" s="68">
        <f t="shared" si="40"/>
        <v>0</v>
      </c>
      <c r="U249" s="155">
        <f t="shared" si="41"/>
        <v>1</v>
      </c>
      <c r="V249" s="156" t="e">
        <f>1/(1+(10^($X249/'[1]Teams'!$F$3)))</f>
        <v>#N/A</v>
      </c>
      <c r="W249" s="157" t="e">
        <f>1/(1+(10^($Y249/'[1]Teams'!$F$3)))</f>
        <v>#N/A</v>
      </c>
      <c r="X249" s="68" t="e">
        <f t="shared" si="42"/>
        <v>#N/A</v>
      </c>
      <c r="Y249" s="155" t="e">
        <f t="shared" si="43"/>
        <v>#N/A</v>
      </c>
      <c r="Z249" s="68" t="e">
        <f>ROUND($R249+(Teams!$H$2*($T249-$V249)),0)</f>
        <v>#N/A</v>
      </c>
      <c r="AA249" s="158" t="e">
        <f>ROUND($S249+(Teams!$H$2*($U249-$W249)),0)</f>
        <v>#N/A</v>
      </c>
    </row>
    <row r="250" spans="2:27" ht="12.75">
      <c r="B250" s="158">
        <v>13</v>
      </c>
      <c r="C250" s="173" t="s">
        <v>21</v>
      </c>
      <c r="D250" s="262">
        <v>13</v>
      </c>
      <c r="E250" s="263">
        <v>6</v>
      </c>
      <c r="F250" s="177" t="s">
        <v>153</v>
      </c>
      <c r="G250" s="179" t="str">
        <f>INDEX(Teams!$B$5:$H$45,MATCH(Results!$C250,Teams!$B$5:$B$45,0),3)</f>
        <v>Finglass Field</v>
      </c>
      <c r="H250" s="179" t="str">
        <f>INDEX(Teams!$B$5:$H$45,MATCH(Results!$C250,Teams!$B$5:$B$45,0),5)</f>
        <v>Horizon</v>
      </c>
      <c r="I250" s="152" t="str">
        <f>INDEX(Teams!$B$5:$H$45,MATCH(Results!$C250,Teams!$B$5:$B$45,0),6)</f>
        <v>STON</v>
      </c>
      <c r="J250" s="152" t="str">
        <f>INDEX(Teams!$B$5:$H$45,MATCH(Results!$F250,Teams!$B$5:$B$45,0),6)</f>
        <v>RSTU</v>
      </c>
      <c r="K250" s="69" t="str">
        <f t="shared" si="33"/>
        <v>STONRSTU</v>
      </c>
      <c r="L250" s="68" t="str">
        <f t="shared" si="34"/>
        <v>STON</v>
      </c>
      <c r="M250" s="68">
        <f t="shared" si="35"/>
        <v>1</v>
      </c>
      <c r="N250" s="68">
        <f t="shared" si="36"/>
        <v>7</v>
      </c>
      <c r="O250" s="68" t="str">
        <f t="shared" si="37"/>
        <v>Home</v>
      </c>
      <c r="P250" s="68" t="str">
        <f t="shared" si="38"/>
        <v>STON13</v>
      </c>
      <c r="Q250" s="68" t="str">
        <f t="shared" si="39"/>
        <v>RSTU13</v>
      </c>
      <c r="R250" s="68">
        <f>INDEX(RankPoints!$B$4:$AK$19,$B250+1,MATCH(Results!$I250,RankPoints!$B$4:$AK$4,0))</f>
        <v>2850</v>
      </c>
      <c r="S250" s="68" t="e">
        <f>INDEX(RankPoints!$B$4:$AK$19,$B250+1,MATCH(Results!$J250,RankPoints!$B$4:$AK$4,0))</f>
        <v>#N/A</v>
      </c>
      <c r="T250" s="68">
        <f t="shared" si="40"/>
        <v>1</v>
      </c>
      <c r="U250" s="155">
        <f t="shared" si="41"/>
        <v>0</v>
      </c>
      <c r="V250" s="156" t="e">
        <f>1/(1+(10^($X250/'[1]Teams'!$F$3)))</f>
        <v>#N/A</v>
      </c>
      <c r="W250" s="157" t="e">
        <f>1/(1+(10^($Y250/'[1]Teams'!$F$3)))</f>
        <v>#N/A</v>
      </c>
      <c r="X250" s="68" t="e">
        <f t="shared" si="42"/>
        <v>#N/A</v>
      </c>
      <c r="Y250" s="155" t="e">
        <f t="shared" si="43"/>
        <v>#N/A</v>
      </c>
      <c r="Z250" s="68" t="e">
        <f>ROUND($R250+(Teams!$H$2*($T250-$V250)),0)</f>
        <v>#N/A</v>
      </c>
      <c r="AA250" s="158" t="e">
        <f>ROUND($S250+(Teams!$H$2*($U250-$W250)),0)</f>
        <v>#N/A</v>
      </c>
    </row>
    <row r="251" spans="2:27" ht="12.75">
      <c r="B251" s="158">
        <v>13</v>
      </c>
      <c r="C251" s="173" t="s">
        <v>80</v>
      </c>
      <c r="D251" s="262">
        <v>22</v>
      </c>
      <c r="E251" s="263">
        <v>0</v>
      </c>
      <c r="F251" s="177" t="s">
        <v>121</v>
      </c>
      <c r="G251" s="179" t="str">
        <f>INDEX(Teams!$B$5:$H$45,MATCH(Results!$C251,Teams!$B$5:$B$45,0),3)</f>
        <v>Orange Bowl</v>
      </c>
      <c r="H251" s="179" t="str">
        <f>INDEX(Teams!$B$5:$H$45,MATCH(Results!$C251,Teams!$B$5:$B$45,0),5)</f>
        <v>Mineral</v>
      </c>
      <c r="I251" s="152" t="str">
        <f>INDEX(Teams!$B$5:$H$45,MATCH(Results!$C251,Teams!$B$5:$B$45,0),6)</f>
        <v>OCSU</v>
      </c>
      <c r="J251" s="152" t="str">
        <f>INDEX(Teams!$B$5:$H$45,MATCH(Results!$F251,Teams!$B$5:$B$45,0),6)</f>
        <v>CRGA</v>
      </c>
      <c r="K251" s="69" t="str">
        <f t="shared" si="33"/>
        <v>OCSUCRGA</v>
      </c>
      <c r="L251" s="68" t="str">
        <f t="shared" si="34"/>
        <v>OCSU</v>
      </c>
      <c r="M251" s="68">
        <f t="shared" si="35"/>
        <v>1</v>
      </c>
      <c r="N251" s="68">
        <f t="shared" si="36"/>
        <v>22</v>
      </c>
      <c r="O251" s="68" t="str">
        <f t="shared" si="37"/>
        <v>Home</v>
      </c>
      <c r="P251" s="68" t="str">
        <f t="shared" si="38"/>
        <v>OCSU13</v>
      </c>
      <c r="Q251" s="68" t="str">
        <f t="shared" si="39"/>
        <v>CRGA13</v>
      </c>
      <c r="R251" s="68">
        <f>INDEX(RankPoints!$B$4:$AK$19,$B251+1,MATCH(Results!$I251,RankPoints!$B$4:$AK$4,0))</f>
        <v>-1516</v>
      </c>
      <c r="S251" s="68" t="e">
        <f>INDEX(RankPoints!$B$4:$AK$19,$B251+1,MATCH(Results!$J251,RankPoints!$B$4:$AK$4,0))</f>
        <v>#N/A</v>
      </c>
      <c r="T251" s="68">
        <f t="shared" si="40"/>
        <v>1</v>
      </c>
      <c r="U251" s="155">
        <f t="shared" si="41"/>
        <v>0</v>
      </c>
      <c r="V251" s="156" t="e">
        <f>1/(1+(10^($X251/'[1]Teams'!$F$3)))</f>
        <v>#N/A</v>
      </c>
      <c r="W251" s="157" t="e">
        <f>1/(1+(10^($Y251/'[1]Teams'!$F$3)))</f>
        <v>#N/A</v>
      </c>
      <c r="X251" s="68" t="e">
        <f t="shared" si="42"/>
        <v>#N/A</v>
      </c>
      <c r="Y251" s="155" t="e">
        <f t="shared" si="43"/>
        <v>#N/A</v>
      </c>
      <c r="Z251" s="68" t="e">
        <f>ROUND($R251+(Teams!$H$2*($T251-$V251)),0)</f>
        <v>#N/A</v>
      </c>
      <c r="AA251" s="158" t="e">
        <f>ROUND($S251+(Teams!$H$2*($U251-$W251)),0)</f>
        <v>#N/A</v>
      </c>
    </row>
    <row r="252" spans="2:27" ht="12.75">
      <c r="B252" s="158">
        <v>13</v>
      </c>
      <c r="C252" s="173" t="s">
        <v>146</v>
      </c>
      <c r="D252" s="262">
        <v>26</v>
      </c>
      <c r="E252" s="263">
        <v>13</v>
      </c>
      <c r="F252" s="177" t="s">
        <v>156</v>
      </c>
      <c r="G252" s="179" t="str">
        <f>INDEX(Teams!$B$5:$H$45,MATCH(Results!$C252,Teams!$B$5:$B$45,0),3)</f>
        <v>Bryan-Hall Stadium</v>
      </c>
      <c r="H252" s="179" t="str">
        <f>INDEX(Teams!$B$5:$H$45,MATCH(Results!$C252,Teams!$B$5:$B$45,0),5)</f>
        <v>Mineral</v>
      </c>
      <c r="I252" s="152" t="str">
        <f>INDEX(Teams!$B$5:$H$45,MATCH(Results!$C252,Teams!$B$5:$B$45,0),6)</f>
        <v>WSIT</v>
      </c>
      <c r="J252" s="152" t="str">
        <f>INDEX(Teams!$B$5:$H$45,MATCH(Results!$F252,Teams!$B$5:$B$45,0),6)</f>
        <v>BLUE</v>
      </c>
      <c r="K252" s="69" t="str">
        <f t="shared" si="33"/>
        <v>WSITBLUE</v>
      </c>
      <c r="L252" s="68" t="str">
        <f t="shared" si="34"/>
        <v>WSIT</v>
      </c>
      <c r="M252" s="68">
        <f t="shared" si="35"/>
        <v>1</v>
      </c>
      <c r="N252" s="68">
        <f t="shared" si="36"/>
        <v>13</v>
      </c>
      <c r="O252" s="68" t="str">
        <f t="shared" si="37"/>
        <v>Home</v>
      </c>
      <c r="P252" s="68" t="str">
        <f t="shared" si="38"/>
        <v>WSIT13</v>
      </c>
      <c r="Q252" s="68" t="str">
        <f t="shared" si="39"/>
        <v>BLUE13</v>
      </c>
      <c r="R252" s="68" t="e">
        <f>INDEX(RankPoints!$B$4:$AK$19,$B252+1,MATCH(Results!$I252,RankPoints!$B$4:$AK$4,0))</f>
        <v>#N/A</v>
      </c>
      <c r="S252" s="68" t="e">
        <f>INDEX(RankPoints!$B$4:$AK$19,$B252+1,MATCH(Results!$J252,RankPoints!$B$4:$AK$4,0))</f>
        <v>#N/A</v>
      </c>
      <c r="T252" s="68">
        <f t="shared" si="40"/>
        <v>1</v>
      </c>
      <c r="U252" s="155">
        <f t="shared" si="41"/>
        <v>0</v>
      </c>
      <c r="V252" s="156" t="e">
        <f>1/(1+(10^($X252/'[1]Teams'!$F$3)))</f>
        <v>#N/A</v>
      </c>
      <c r="W252" s="157" t="e">
        <f>1/(1+(10^($Y252/'[1]Teams'!$F$3)))</f>
        <v>#N/A</v>
      </c>
      <c r="X252" s="68" t="e">
        <f t="shared" si="42"/>
        <v>#N/A</v>
      </c>
      <c r="Y252" s="155" t="e">
        <f t="shared" si="43"/>
        <v>#N/A</v>
      </c>
      <c r="Z252" s="68" t="e">
        <f>ROUND($R252+(Teams!$H$2*($T252-$V252)),0)</f>
        <v>#N/A</v>
      </c>
      <c r="AA252" s="158" t="e">
        <f>ROUND($S252+(Teams!$H$2*($U252-$W252)),0)</f>
        <v>#N/A</v>
      </c>
    </row>
    <row r="253" spans="2:27" ht="12.75">
      <c r="B253" s="158">
        <v>13</v>
      </c>
      <c r="C253" s="173" t="s">
        <v>251</v>
      </c>
      <c r="D253" s="262">
        <v>3</v>
      </c>
      <c r="E253" s="263">
        <v>20</v>
      </c>
      <c r="F253" s="177" t="s">
        <v>155</v>
      </c>
      <c r="G253" s="179" t="str">
        <f>INDEX(Teams!$B$5:$H$45,MATCH(Results!$C253,Teams!$B$5:$B$45,0),3)</f>
        <v>The Nest of Fire</v>
      </c>
      <c r="H253" s="179" t="str">
        <f>INDEX(Teams!$B$5:$H$45,MATCH(Results!$C253,Teams!$B$5:$B$45,0),5)</f>
        <v>Mineral</v>
      </c>
      <c r="I253" s="152" t="str">
        <f>INDEX(Teams!$B$5:$H$45,MATCH(Results!$C253,Teams!$B$5:$B$45,0),6)</f>
        <v>HRLP</v>
      </c>
      <c r="J253" s="152" t="str">
        <f>INDEX(Teams!$B$5:$H$45,MATCH(Results!$F253,Teams!$B$5:$B$45,0),6)</f>
        <v>EKIL</v>
      </c>
      <c r="K253" s="69" t="str">
        <f t="shared" si="33"/>
        <v>HRLPEKIL</v>
      </c>
      <c r="L253" s="68" t="str">
        <f t="shared" si="34"/>
        <v>EKIL</v>
      </c>
      <c r="M253" s="68">
        <f t="shared" si="35"/>
        <v>1</v>
      </c>
      <c r="N253" s="68">
        <f t="shared" si="36"/>
        <v>17</v>
      </c>
      <c r="O253" s="68" t="str">
        <f t="shared" si="37"/>
        <v>Away</v>
      </c>
      <c r="P253" s="68" t="str">
        <f t="shared" si="38"/>
        <v>HRLP13</v>
      </c>
      <c r="Q253" s="68" t="str">
        <f t="shared" si="39"/>
        <v>EKIL13</v>
      </c>
      <c r="R253" s="68" t="e">
        <f>INDEX(RankPoints!$B$4:$AK$19,$B253+1,MATCH(Results!$I253,RankPoints!$B$4:$AK$4,0))</f>
        <v>#N/A</v>
      </c>
      <c r="S253" s="68" t="e">
        <f>INDEX(RankPoints!$B$4:$AK$19,$B253+1,MATCH(Results!$J253,RankPoints!$B$4:$AK$4,0))</f>
        <v>#N/A</v>
      </c>
      <c r="T253" s="68">
        <f t="shared" si="40"/>
        <v>0</v>
      </c>
      <c r="U253" s="155">
        <f t="shared" si="41"/>
        <v>1</v>
      </c>
      <c r="V253" s="156" t="e">
        <f>1/(1+(10^($X253/'[1]Teams'!$F$3)))</f>
        <v>#N/A</v>
      </c>
      <c r="W253" s="157" t="e">
        <f>1/(1+(10^($Y253/'[1]Teams'!$F$3)))</f>
        <v>#N/A</v>
      </c>
      <c r="X253" s="68" t="e">
        <f t="shared" si="42"/>
        <v>#N/A</v>
      </c>
      <c r="Y253" s="155" t="e">
        <f t="shared" si="43"/>
        <v>#N/A</v>
      </c>
      <c r="Z253" s="68" t="e">
        <f>ROUND($R253+(Teams!$H$2*($T253-$V253)),0)</f>
        <v>#N/A</v>
      </c>
      <c r="AA253" s="158" t="e">
        <f>ROUND($S253+(Teams!$H$2*($U253-$W253)),0)</f>
        <v>#N/A</v>
      </c>
    </row>
    <row r="254" spans="2:27" ht="12.75">
      <c r="B254" s="158">
        <v>13</v>
      </c>
      <c r="C254" s="173" t="s">
        <v>266</v>
      </c>
      <c r="D254" s="262">
        <v>51</v>
      </c>
      <c r="E254" s="263">
        <v>3</v>
      </c>
      <c r="F254" s="177" t="s">
        <v>150</v>
      </c>
      <c r="G254" s="179" t="str">
        <f>INDEX(Teams!$B$5:$H$45,MATCH(Results!$C254,Teams!$B$5:$B$45,0),3)</f>
        <v>ATD Park</v>
      </c>
      <c r="H254" s="179" t="str">
        <f>INDEX(Teams!$B$5:$H$45,MATCH(Results!$C254,Teams!$B$5:$B$45,0),5)</f>
        <v>Mineral</v>
      </c>
      <c r="I254" s="152" t="str">
        <f>INDEX(Teams!$B$5:$H$45,MATCH(Results!$C254,Teams!$B$5:$B$45,0),6)</f>
        <v>UPSL</v>
      </c>
      <c r="J254" s="152" t="str">
        <f>INDEX(Teams!$B$5:$H$45,MATCH(Results!$F254,Teams!$B$5:$B$45,0),6)</f>
        <v>RICH</v>
      </c>
      <c r="K254" s="69" t="str">
        <f t="shared" si="33"/>
        <v>UPSLRICH</v>
      </c>
      <c r="L254" s="68" t="str">
        <f t="shared" si="34"/>
        <v>UPSL</v>
      </c>
      <c r="M254" s="68">
        <f t="shared" si="35"/>
        <v>1</v>
      </c>
      <c r="N254" s="68">
        <f t="shared" si="36"/>
        <v>48</v>
      </c>
      <c r="O254" s="68" t="str">
        <f t="shared" si="37"/>
        <v>Home</v>
      </c>
      <c r="P254" s="68" t="str">
        <f t="shared" si="38"/>
        <v>UPSL13</v>
      </c>
      <c r="Q254" s="68" t="str">
        <f t="shared" si="39"/>
        <v>RICH13</v>
      </c>
      <c r="R254" s="68">
        <f>INDEX(RankPoints!$B$4:$AK$19,$B254+1,MATCH(Results!$I254,RankPoints!$B$4:$AK$4,0))</f>
        <v>1516</v>
      </c>
      <c r="S254" s="68" t="e">
        <f>INDEX(RankPoints!$B$4:$AK$19,$B254+1,MATCH(Results!$J254,RankPoints!$B$4:$AK$4,0))</f>
        <v>#N/A</v>
      </c>
      <c r="T254" s="68">
        <f t="shared" si="40"/>
        <v>1</v>
      </c>
      <c r="U254" s="155">
        <f t="shared" si="41"/>
        <v>0</v>
      </c>
      <c r="V254" s="156" t="e">
        <f>1/(1+(10^($X254/'[1]Teams'!$F$3)))</f>
        <v>#N/A</v>
      </c>
      <c r="W254" s="157" t="e">
        <f>1/(1+(10^($Y254/'[1]Teams'!$F$3)))</f>
        <v>#N/A</v>
      </c>
      <c r="X254" s="68" t="e">
        <f t="shared" si="42"/>
        <v>#N/A</v>
      </c>
      <c r="Y254" s="155" t="e">
        <f t="shared" si="43"/>
        <v>#N/A</v>
      </c>
      <c r="Z254" s="68" t="e">
        <f>ROUND($R254+(Teams!$H$2*($T254-$V254)),0)</f>
        <v>#N/A</v>
      </c>
      <c r="AA254" s="158" t="e">
        <f>ROUND($S254+(Teams!$H$2*($U254-$W254)),0)</f>
        <v>#N/A</v>
      </c>
    </row>
    <row r="255" spans="2:27" ht="12.75">
      <c r="B255" s="158">
        <v>13</v>
      </c>
      <c r="C255" s="173" t="s">
        <v>79</v>
      </c>
      <c r="D255" s="262">
        <v>28</v>
      </c>
      <c r="E255" s="263">
        <v>10</v>
      </c>
      <c r="F255" s="177" t="s">
        <v>269</v>
      </c>
      <c r="G255" s="179" t="str">
        <f>INDEX(Teams!$B$5:$H$45,MATCH(Results!$C255,Teams!$B$5:$B$45,0),3)</f>
        <v>Anatidae Field</v>
      </c>
      <c r="H255" s="179" t="str">
        <f>INDEX(Teams!$B$5:$H$45,MATCH(Results!$C255,Teams!$B$5:$B$45,0),5)</f>
        <v>Sequoia</v>
      </c>
      <c r="I255" s="152" t="str">
        <f>INDEX(Teams!$B$5:$H$45,MATCH(Results!$C255,Teams!$B$5:$B$45,0),6)</f>
        <v>RVMD</v>
      </c>
      <c r="J255" s="152" t="str">
        <f>INDEX(Teams!$B$5:$H$45,MATCH(Results!$F255,Teams!$B$5:$B$45,0),6)</f>
        <v>STJN</v>
      </c>
      <c r="K255" s="69" t="str">
        <f t="shared" si="33"/>
        <v>RVMDSTJN</v>
      </c>
      <c r="L255" s="68" t="str">
        <f t="shared" si="34"/>
        <v>RVMD</v>
      </c>
      <c r="M255" s="68">
        <f t="shared" si="35"/>
        <v>1</v>
      </c>
      <c r="N255" s="68">
        <f t="shared" si="36"/>
        <v>18</v>
      </c>
      <c r="O255" s="68" t="str">
        <f t="shared" si="37"/>
        <v>Home</v>
      </c>
      <c r="P255" s="68" t="str">
        <f t="shared" si="38"/>
        <v>RVMD13</v>
      </c>
      <c r="Q255" s="68" t="str">
        <f t="shared" si="39"/>
        <v>STJN13</v>
      </c>
      <c r="R255" s="68">
        <f>INDEX(RankPoints!$B$4:$AK$19,$B255+1,MATCH(Results!$I255,RankPoints!$B$4:$AK$4,0))</f>
        <v>-2972</v>
      </c>
      <c r="S255" s="68">
        <f>INDEX(RankPoints!$B$4:$AK$19,$B255+1,MATCH(Results!$J255,RankPoints!$B$4:$AK$4,0))</f>
        <v>3212</v>
      </c>
      <c r="T255" s="68">
        <f t="shared" si="40"/>
        <v>1</v>
      </c>
      <c r="U255" s="155">
        <f t="shared" si="41"/>
        <v>0</v>
      </c>
      <c r="V255" s="156">
        <f>1/(1+(10^($X255/'[1]Teams'!$F$3)))</f>
        <v>0.9999999999999996</v>
      </c>
      <c r="W255" s="157">
        <f>1/(1+(10^($Y255/'[1]Teams'!$F$3)))</f>
        <v>3.467368504525285E-16</v>
      </c>
      <c r="X255" s="68">
        <f t="shared" si="42"/>
        <v>-6184</v>
      </c>
      <c r="Y255" s="155">
        <f t="shared" si="43"/>
        <v>6184</v>
      </c>
      <c r="Z255" s="68">
        <f>ROUND($R255+(Teams!$H$2*($T255-$V255)),0)</f>
        <v>-2972</v>
      </c>
      <c r="AA255" s="158">
        <f>ROUND($S255+(Teams!$H$2*($U255-$W255)),0)</f>
        <v>3212</v>
      </c>
    </row>
    <row r="256" spans="2:27" ht="12.75">
      <c r="B256" s="158">
        <v>13</v>
      </c>
      <c r="C256" s="173" t="s">
        <v>111</v>
      </c>
      <c r="D256" s="262">
        <v>7</v>
      </c>
      <c r="E256" s="263">
        <v>10</v>
      </c>
      <c r="F256" s="177" t="s">
        <v>265</v>
      </c>
      <c r="G256" s="179" t="str">
        <f>INDEX(Teams!$B$5:$H$45,MATCH(Results!$C256,Teams!$B$5:$B$45,0),3)</f>
        <v>Welcome City Stadium</v>
      </c>
      <c r="H256" s="179" t="str">
        <f>INDEX(Teams!$B$5:$H$45,MATCH(Results!$C256,Teams!$B$5:$B$45,0),5)</f>
        <v>Sequoia</v>
      </c>
      <c r="I256" s="152" t="str">
        <f>INDEX(Teams!$B$5:$H$45,MATCH(Results!$C256,Teams!$B$5:$B$45,0),6)</f>
        <v>NRDN</v>
      </c>
      <c r="J256" s="152" t="str">
        <f>INDEX(Teams!$B$5:$H$45,MATCH(Results!$F256,Teams!$B$5:$B$45,0),6)</f>
        <v>ACSP</v>
      </c>
      <c r="K256" s="69" t="str">
        <f t="shared" si="33"/>
        <v>NRDNACSP</v>
      </c>
      <c r="L256" s="68" t="str">
        <f t="shared" si="34"/>
        <v>ACSP</v>
      </c>
      <c r="M256" s="68">
        <f t="shared" si="35"/>
        <v>1</v>
      </c>
      <c r="N256" s="68">
        <f t="shared" si="36"/>
        <v>3</v>
      </c>
      <c r="O256" s="68" t="str">
        <f t="shared" si="37"/>
        <v>Away</v>
      </c>
      <c r="P256" s="68" t="str">
        <f t="shared" si="38"/>
        <v>NRDN13</v>
      </c>
      <c r="Q256" s="68" t="str">
        <f t="shared" si="39"/>
        <v>ACSP13</v>
      </c>
      <c r="R256" s="68">
        <f>INDEX(RankPoints!$B$4:$AK$19,$B256+1,MATCH(Results!$I256,RankPoints!$B$4:$AK$4,0))</f>
        <v>-6305</v>
      </c>
      <c r="S256" s="68" t="e">
        <f>INDEX(RankPoints!$B$4:$AK$19,$B256+1,MATCH(Results!$J256,RankPoints!$B$4:$AK$4,0))</f>
        <v>#N/A</v>
      </c>
      <c r="T256" s="68">
        <f t="shared" si="40"/>
        <v>0</v>
      </c>
      <c r="U256" s="155">
        <f t="shared" si="41"/>
        <v>1</v>
      </c>
      <c r="V256" s="156" t="e">
        <f>1/(1+(10^($X256/'[1]Teams'!$F$3)))</f>
        <v>#N/A</v>
      </c>
      <c r="W256" s="157" t="e">
        <f>1/(1+(10^($Y256/'[1]Teams'!$F$3)))</f>
        <v>#N/A</v>
      </c>
      <c r="X256" s="68" t="e">
        <f t="shared" si="42"/>
        <v>#N/A</v>
      </c>
      <c r="Y256" s="155" t="e">
        <f t="shared" si="43"/>
        <v>#N/A</v>
      </c>
      <c r="Z256" s="68" t="e">
        <f>ROUND($R256+(Teams!$H$2*($T256-$V256)),0)</f>
        <v>#N/A</v>
      </c>
      <c r="AA256" s="158" t="e">
        <f>ROUND($S256+(Teams!$H$2*($U256-$W256)),0)</f>
        <v>#N/A</v>
      </c>
    </row>
    <row r="257" spans="2:27" ht="12.75">
      <c r="B257" s="158">
        <v>13</v>
      </c>
      <c r="C257" s="173" t="s">
        <v>119</v>
      </c>
      <c r="D257" s="262">
        <v>9</v>
      </c>
      <c r="E257" s="263">
        <v>17</v>
      </c>
      <c r="F257" s="177" t="s">
        <v>117</v>
      </c>
      <c r="G257" s="179" t="str">
        <f>INDEX(Teams!$B$5:$H$45,MATCH(Results!$C257,Teams!$B$5:$B$45,0),3)</f>
        <v>Parah Dome</v>
      </c>
      <c r="H257" s="179" t="str">
        <f>INDEX(Teams!$B$5:$H$45,MATCH(Results!$C257,Teams!$B$5:$B$45,0),5)</f>
        <v>Sequoia</v>
      </c>
      <c r="I257" s="152" t="str">
        <f>INDEX(Teams!$B$5:$H$45,MATCH(Results!$C257,Teams!$B$5:$B$45,0),6)</f>
        <v>NETT</v>
      </c>
      <c r="J257" s="152" t="str">
        <f>INDEX(Teams!$B$5:$H$45,MATCH(Results!$F257,Teams!$B$5:$B$45,0),6)</f>
        <v>ALUT</v>
      </c>
      <c r="K257" s="69" t="str">
        <f t="shared" si="33"/>
        <v>NETTALUT</v>
      </c>
      <c r="L257" s="68" t="str">
        <f t="shared" si="34"/>
        <v>ALUT</v>
      </c>
      <c r="M257" s="68">
        <f t="shared" si="35"/>
        <v>1</v>
      </c>
      <c r="N257" s="68">
        <f t="shared" si="36"/>
        <v>8</v>
      </c>
      <c r="O257" s="68" t="str">
        <f t="shared" si="37"/>
        <v>Away</v>
      </c>
      <c r="P257" s="68" t="str">
        <f t="shared" si="38"/>
        <v>NETT13</v>
      </c>
      <c r="Q257" s="68" t="str">
        <f t="shared" si="39"/>
        <v>ALUT13</v>
      </c>
      <c r="R257" s="68" t="e">
        <f>INDEX(RankPoints!$B$4:$AK$19,$B257+1,MATCH(Results!$I257,RankPoints!$B$4:$AK$4,0))</f>
        <v>#N/A</v>
      </c>
      <c r="S257" s="68" t="e">
        <f>INDEX(RankPoints!$B$4:$AK$19,$B257+1,MATCH(Results!$J257,RankPoints!$B$4:$AK$4,0))</f>
        <v>#N/A</v>
      </c>
      <c r="T257" s="68">
        <f t="shared" si="40"/>
        <v>0</v>
      </c>
      <c r="U257" s="155">
        <f t="shared" si="41"/>
        <v>1</v>
      </c>
      <c r="V257" s="156" t="e">
        <f>1/(1+(10^($X257/'[1]Teams'!$F$3)))</f>
        <v>#N/A</v>
      </c>
      <c r="W257" s="157" t="e">
        <f>1/(1+(10^($Y257/'[1]Teams'!$F$3)))</f>
        <v>#N/A</v>
      </c>
      <c r="X257" s="68" t="e">
        <f t="shared" si="42"/>
        <v>#N/A</v>
      </c>
      <c r="Y257" s="155" t="e">
        <f t="shared" si="43"/>
        <v>#N/A</v>
      </c>
      <c r="Z257" s="68" t="e">
        <f>ROUND($R257+(Teams!$H$2*($T257-$V257)),0)</f>
        <v>#N/A</v>
      </c>
      <c r="AA257" s="158" t="e">
        <f>ROUND($S257+(Teams!$H$2*($U257-$W257)),0)</f>
        <v>#N/A</v>
      </c>
    </row>
    <row r="258" spans="2:27" ht="12.75">
      <c r="B258" s="158">
        <v>13</v>
      </c>
      <c r="C258" s="173" t="s">
        <v>112</v>
      </c>
      <c r="D258" s="262">
        <v>24</v>
      </c>
      <c r="E258" s="263">
        <v>31</v>
      </c>
      <c r="F258" s="177" t="s">
        <v>19</v>
      </c>
      <c r="G258" s="179" t="str">
        <f>INDEX(Teams!$B$5:$H$45,MATCH(Results!$C258,Teams!$B$5:$B$45,0),3)</f>
        <v>George Litchko Stadium</v>
      </c>
      <c r="H258" s="179" t="str">
        <f>INDEX(Teams!$B$5:$H$45,MATCH(Results!$C258,Teams!$B$5:$B$45,0),5)</f>
        <v>Sequoia</v>
      </c>
      <c r="I258" s="152" t="str">
        <f>INDEX(Teams!$B$5:$H$45,MATCH(Results!$C258,Teams!$B$5:$B$45,0),6)</f>
        <v>FHST</v>
      </c>
      <c r="J258" s="152" t="str">
        <f>INDEX(Teams!$B$5:$H$45,MATCH(Results!$F258,Teams!$B$5:$B$45,0),6)</f>
        <v>ALZD</v>
      </c>
      <c r="K258" s="69" t="str">
        <f t="shared" si="33"/>
        <v>FHSTALZD</v>
      </c>
      <c r="L258" s="68" t="str">
        <f t="shared" si="34"/>
        <v>ALZD</v>
      </c>
      <c r="M258" s="68">
        <f t="shared" si="35"/>
        <v>1</v>
      </c>
      <c r="N258" s="68">
        <f t="shared" si="36"/>
        <v>7</v>
      </c>
      <c r="O258" s="68" t="str">
        <f t="shared" si="37"/>
        <v>Away</v>
      </c>
      <c r="P258" s="68" t="str">
        <f t="shared" si="38"/>
        <v>FHST13</v>
      </c>
      <c r="Q258" s="68" t="str">
        <f t="shared" si="39"/>
        <v>ALZD13</v>
      </c>
      <c r="R258" s="68">
        <f>INDEX(RankPoints!$B$4:$AK$19,$B258+1,MATCH(Results!$I258,RankPoints!$B$4:$AK$4,0))</f>
        <v>-104</v>
      </c>
      <c r="S258" s="68">
        <f>INDEX(RankPoints!$B$4:$AK$19,$B258+1,MATCH(Results!$J258,RankPoints!$B$4:$AK$4,0))</f>
        <v>1583</v>
      </c>
      <c r="T258" s="68">
        <f t="shared" si="40"/>
        <v>0</v>
      </c>
      <c r="U258" s="155">
        <f t="shared" si="41"/>
        <v>1</v>
      </c>
      <c r="V258" s="156">
        <f>1/(1+(10^($X258/'[1]Teams'!$F$3)))</f>
        <v>0.9999393998525477</v>
      </c>
      <c r="W258" s="157">
        <f>1/(1+(10^($Y258/'[1]Teams'!$F$3)))</f>
        <v>6.0600147452275124E-05</v>
      </c>
      <c r="X258" s="68">
        <f t="shared" si="42"/>
        <v>-1687</v>
      </c>
      <c r="Y258" s="155">
        <f t="shared" si="43"/>
        <v>1687</v>
      </c>
      <c r="Z258" s="68">
        <f>ROUND($R258+(Teams!$H$2*($T258-$V258)),0)</f>
        <v>-136</v>
      </c>
      <c r="AA258" s="158">
        <f>ROUND($S258+(Teams!$H$2*($U258-$W258)),0)</f>
        <v>1615</v>
      </c>
    </row>
    <row r="259" spans="2:27" ht="12.75">
      <c r="B259" s="158">
        <v>13</v>
      </c>
      <c r="C259" s="173" t="s">
        <v>110</v>
      </c>
      <c r="D259" s="262">
        <v>50</v>
      </c>
      <c r="E259" s="263">
        <v>0</v>
      </c>
      <c r="F259" s="177" t="s">
        <v>152</v>
      </c>
      <c r="G259" s="179" t="str">
        <f>INDEX(Teams!$B$5:$H$45,MATCH(Results!$C259,Teams!$B$5:$B$45,0),3)</f>
        <v>Martin Connors Memorial Field</v>
      </c>
      <c r="H259" s="179" t="str">
        <f>INDEX(Teams!$B$5:$H$45,MATCH(Results!$C259,Teams!$B$5:$B$45,0),5)</f>
        <v>Woodlands</v>
      </c>
      <c r="I259" s="152" t="str">
        <f>INDEX(Teams!$B$5:$H$45,MATCH(Results!$C259,Teams!$B$5:$B$45,0),6)</f>
        <v>UTCA</v>
      </c>
      <c r="J259" s="152" t="str">
        <f>INDEX(Teams!$B$5:$H$45,MATCH(Results!$F259,Teams!$B$5:$B$45,0),6)</f>
        <v>WALT</v>
      </c>
      <c r="K259" s="69" t="str">
        <f aca="true" t="shared" si="44" ref="K259:K282">I259&amp;J259</f>
        <v>UTCAWALT</v>
      </c>
      <c r="L259" s="68" t="str">
        <f aca="true" t="shared" si="45" ref="L259:L282">IF(M259=0,"",IF(D259&gt;E259,I259,J259))</f>
        <v>UTCA</v>
      </c>
      <c r="M259" s="68">
        <f aca="true" t="shared" si="46" ref="M259:M282">IF(OR(D259="",E259=""),0,1)</f>
        <v>1</v>
      </c>
      <c r="N259" s="68">
        <f aca="true" t="shared" si="47" ref="N259:N282">ABS(D259-E259)</f>
        <v>50</v>
      </c>
      <c r="O259" s="68" t="str">
        <f aca="true" t="shared" si="48" ref="O259:O282">IF(L259="","",IF(L259=I259,"Home","Away"))</f>
        <v>Home</v>
      </c>
      <c r="P259" s="68" t="str">
        <f aca="true" t="shared" si="49" ref="P259:P282">$I259&amp;$B259</f>
        <v>UTCA13</v>
      </c>
      <c r="Q259" s="68" t="str">
        <f aca="true" t="shared" si="50" ref="Q259:Q282">$J259&amp;$B259</f>
        <v>WALT13</v>
      </c>
      <c r="R259" s="68">
        <f>INDEX(RankPoints!$B$4:$AK$19,$B259+1,MATCH(Results!$I259,RankPoints!$B$4:$AK$4,0))</f>
        <v>353</v>
      </c>
      <c r="S259" s="68" t="e">
        <f>INDEX(RankPoints!$B$4:$AK$19,$B259+1,MATCH(Results!$J259,RankPoints!$B$4:$AK$4,0))</f>
        <v>#N/A</v>
      </c>
      <c r="T259" s="68">
        <f aca="true" t="shared" si="51" ref="T259:T282">IF($O259="Home",1,0)</f>
        <v>1</v>
      </c>
      <c r="U259" s="155">
        <f aca="true" t="shared" si="52" ref="U259:U282">IF($O259="Away",1,0)</f>
        <v>0</v>
      </c>
      <c r="V259" s="156" t="e">
        <f>1/(1+(10^($X259/'[1]Teams'!$F$3)))</f>
        <v>#N/A</v>
      </c>
      <c r="W259" s="157" t="e">
        <f>1/(1+(10^($Y259/'[1]Teams'!$F$3)))</f>
        <v>#N/A</v>
      </c>
      <c r="X259" s="68" t="e">
        <f aca="true" t="shared" si="53" ref="X259:X282">$R259-$S259</f>
        <v>#N/A</v>
      </c>
      <c r="Y259" s="155" t="e">
        <f aca="true" t="shared" si="54" ref="Y259:Y282">$S259-$R259</f>
        <v>#N/A</v>
      </c>
      <c r="Z259" s="68" t="e">
        <f>ROUND($R259+(Teams!$H$2*($T259-$V259)),0)</f>
        <v>#N/A</v>
      </c>
      <c r="AA259" s="158" t="e">
        <f>ROUND($S259+(Teams!$H$2*($U259-$W259)),0)</f>
        <v>#N/A</v>
      </c>
    </row>
    <row r="260" spans="2:27" ht="12.75">
      <c r="B260" s="158">
        <v>13</v>
      </c>
      <c r="C260" s="173" t="s">
        <v>125</v>
      </c>
      <c r="D260" s="262">
        <v>16</v>
      </c>
      <c r="E260" s="263">
        <v>30</v>
      </c>
      <c r="F260" s="177" t="s">
        <v>127</v>
      </c>
      <c r="G260" s="179" t="str">
        <f>INDEX(Teams!$B$5:$H$45,MATCH(Results!$C260,Teams!$B$5:$B$45,0),3)</f>
        <v>Groundhog Field</v>
      </c>
      <c r="H260" s="179" t="str">
        <f>INDEX(Teams!$B$5:$H$45,MATCH(Results!$C260,Teams!$B$5:$B$45,0),5)</f>
        <v>Woodlands</v>
      </c>
      <c r="I260" s="152" t="str">
        <f>INDEX(Teams!$B$5:$H$45,MATCH(Results!$C260,Teams!$B$5:$B$45,0),6)</f>
        <v>JGZA</v>
      </c>
      <c r="J260" s="152" t="str">
        <f>INDEX(Teams!$B$5:$H$45,MATCH(Results!$F260,Teams!$B$5:$B$45,0),6)</f>
        <v>BUCK</v>
      </c>
      <c r="K260" s="69" t="str">
        <f t="shared" si="44"/>
        <v>JGZABUCK</v>
      </c>
      <c r="L260" s="68" t="str">
        <f t="shared" si="45"/>
        <v>BUCK</v>
      </c>
      <c r="M260" s="68">
        <f t="shared" si="46"/>
        <v>1</v>
      </c>
      <c r="N260" s="68">
        <f t="shared" si="47"/>
        <v>14</v>
      </c>
      <c r="O260" s="68" t="str">
        <f t="shared" si="48"/>
        <v>Away</v>
      </c>
      <c r="P260" s="68" t="str">
        <f t="shared" si="49"/>
        <v>JGZA13</v>
      </c>
      <c r="Q260" s="68" t="str">
        <f t="shared" si="50"/>
        <v>BUCK13</v>
      </c>
      <c r="R260" s="68" t="e">
        <f>INDEX(RankPoints!$B$4:$AK$19,$B260+1,MATCH(Results!$I260,RankPoints!$B$4:$AK$4,0))</f>
        <v>#N/A</v>
      </c>
      <c r="S260" s="68" t="e">
        <f>INDEX(RankPoints!$B$4:$AK$19,$B260+1,MATCH(Results!$J260,RankPoints!$B$4:$AK$4,0))</f>
        <v>#N/A</v>
      </c>
      <c r="T260" s="68">
        <f t="shared" si="51"/>
        <v>0</v>
      </c>
      <c r="U260" s="155">
        <f t="shared" si="52"/>
        <v>1</v>
      </c>
      <c r="V260" s="156" t="e">
        <f>1/(1+(10^($X260/'[1]Teams'!$F$3)))</f>
        <v>#N/A</v>
      </c>
      <c r="W260" s="157" t="e">
        <f>1/(1+(10^($Y260/'[1]Teams'!$F$3)))</f>
        <v>#N/A</v>
      </c>
      <c r="X260" s="68" t="e">
        <f t="shared" si="53"/>
        <v>#N/A</v>
      </c>
      <c r="Y260" s="155" t="e">
        <f t="shared" si="54"/>
        <v>#N/A</v>
      </c>
      <c r="Z260" s="68" t="e">
        <f>ROUND($R260+(Teams!$H$2*($T260-$V260)),0)</f>
        <v>#N/A</v>
      </c>
      <c r="AA260" s="158" t="e">
        <f>ROUND($S260+(Teams!$H$2*($U260-$W260)),0)</f>
        <v>#N/A</v>
      </c>
    </row>
    <row r="261" spans="2:27" ht="12.75">
      <c r="B261" s="158">
        <v>13</v>
      </c>
      <c r="C261" s="173" t="s">
        <v>109</v>
      </c>
      <c r="D261" s="262">
        <v>8</v>
      </c>
      <c r="E261" s="263">
        <v>16</v>
      </c>
      <c r="F261" s="177" t="s">
        <v>78</v>
      </c>
      <c r="G261" s="179" t="str">
        <f>INDEX(Teams!$B$5:$H$45,MATCH(Results!$C261,Teams!$B$5:$B$45,0),3)</f>
        <v>Walker Field</v>
      </c>
      <c r="H261" s="179" t="str">
        <f>INDEX(Teams!$B$5:$H$45,MATCH(Results!$C261,Teams!$B$5:$B$45,0),5)</f>
        <v>Woodlands</v>
      </c>
      <c r="I261" s="152" t="str">
        <f>INDEX(Teams!$B$5:$H$45,MATCH(Results!$C261,Teams!$B$5:$B$45,0),6)</f>
        <v>ARKN</v>
      </c>
      <c r="J261" s="152" t="str">
        <f>INDEX(Teams!$B$5:$H$45,MATCH(Results!$F261,Teams!$B$5:$B$45,0),6)</f>
        <v>FRBB</v>
      </c>
      <c r="K261" s="69" t="str">
        <f t="shared" si="44"/>
        <v>ARKNFRBB</v>
      </c>
      <c r="L261" s="68" t="str">
        <f t="shared" si="45"/>
        <v>FRBB</v>
      </c>
      <c r="M261" s="68">
        <f t="shared" si="46"/>
        <v>1</v>
      </c>
      <c r="N261" s="68">
        <f t="shared" si="47"/>
        <v>8</v>
      </c>
      <c r="O261" s="68" t="str">
        <f t="shared" si="48"/>
        <v>Away</v>
      </c>
      <c r="P261" s="68" t="str">
        <f t="shared" si="49"/>
        <v>ARKN13</v>
      </c>
      <c r="Q261" s="68" t="str">
        <f t="shared" si="50"/>
        <v>FRBB13</v>
      </c>
      <c r="R261" s="68">
        <f>INDEX(RankPoints!$B$4:$AK$19,$B261+1,MATCH(Results!$I261,RankPoints!$B$4:$AK$4,0))</f>
        <v>448</v>
      </c>
      <c r="S261" s="68">
        <f>INDEX(RankPoints!$B$4:$AK$19,$B261+1,MATCH(Results!$J261,RankPoints!$B$4:$AK$4,0))</f>
        <v>326</v>
      </c>
      <c r="T261" s="68">
        <f t="shared" si="51"/>
        <v>0</v>
      </c>
      <c r="U261" s="155">
        <f t="shared" si="52"/>
        <v>1</v>
      </c>
      <c r="V261" s="156">
        <f>1/(1+(10^($X261/'[1]Teams'!$F$3)))</f>
        <v>0.33130504369266833</v>
      </c>
      <c r="W261" s="157">
        <f>1/(1+(10^($Y261/'[1]Teams'!$F$3)))</f>
        <v>0.6686949563073317</v>
      </c>
      <c r="X261" s="68">
        <f t="shared" si="53"/>
        <v>122</v>
      </c>
      <c r="Y261" s="155">
        <f t="shared" si="54"/>
        <v>-122</v>
      </c>
      <c r="Z261" s="68">
        <f>ROUND($R261+(Teams!$H$2*($T261-$V261)),0)</f>
        <v>437</v>
      </c>
      <c r="AA261" s="158">
        <f>ROUND($S261+(Teams!$H$2*($U261-$W261)),0)</f>
        <v>337</v>
      </c>
    </row>
    <row r="262" spans="2:27" ht="12.75">
      <c r="B262" s="158">
        <v>13</v>
      </c>
      <c r="C262" s="173" t="s">
        <v>158</v>
      </c>
      <c r="D262" s="262">
        <v>16</v>
      </c>
      <c r="E262" s="263">
        <v>0</v>
      </c>
      <c r="F262" s="177" t="s">
        <v>255</v>
      </c>
      <c r="G262" s="179" t="str">
        <f>INDEX(Teams!$B$5:$H$45,MATCH(Results!$C262,Teams!$B$5:$B$45,0),3)</f>
        <v>The Brown House</v>
      </c>
      <c r="H262" s="179" t="str">
        <f>INDEX(Teams!$B$5:$H$45,MATCH(Results!$C262,Teams!$B$5:$B$45,0),5)</f>
        <v>Woodlands</v>
      </c>
      <c r="I262" s="152" t="str">
        <f>INDEX(Teams!$B$5:$H$45,MATCH(Results!$C262,Teams!$B$5:$B$45,0),6)</f>
        <v>TOUF</v>
      </c>
      <c r="J262" s="152" t="str">
        <f>INDEX(Teams!$B$5:$H$45,MATCH(Results!$F262,Teams!$B$5:$B$45,0),6)</f>
        <v>HUDS</v>
      </c>
      <c r="K262" s="69" t="str">
        <f t="shared" si="44"/>
        <v>TOUFHUDS</v>
      </c>
      <c r="L262" s="68" t="str">
        <f t="shared" si="45"/>
        <v>TOUF</v>
      </c>
      <c r="M262" s="68">
        <f t="shared" si="46"/>
        <v>1</v>
      </c>
      <c r="N262" s="68">
        <f t="shared" si="47"/>
        <v>16</v>
      </c>
      <c r="O262" s="68" t="str">
        <f t="shared" si="48"/>
        <v>Home</v>
      </c>
      <c r="P262" s="68" t="str">
        <f t="shared" si="49"/>
        <v>TOUF13</v>
      </c>
      <c r="Q262" s="68" t="str">
        <f t="shared" si="50"/>
        <v>HUDS13</v>
      </c>
      <c r="R262" s="68" t="e">
        <f>INDEX(RankPoints!$B$4:$AK$19,$B262+1,MATCH(Results!$I262,RankPoints!$B$4:$AK$4,0))</f>
        <v>#N/A</v>
      </c>
      <c r="S262" s="68" t="e">
        <f>INDEX(RankPoints!$B$4:$AK$19,$B262+1,MATCH(Results!$J262,RankPoints!$B$4:$AK$4,0))</f>
        <v>#N/A</v>
      </c>
      <c r="T262" s="68">
        <f t="shared" si="51"/>
        <v>1</v>
      </c>
      <c r="U262" s="155">
        <f t="shared" si="52"/>
        <v>0</v>
      </c>
      <c r="V262" s="156" t="e">
        <f>1/(1+(10^($X262/'[1]Teams'!$F$3)))</f>
        <v>#N/A</v>
      </c>
      <c r="W262" s="157" t="e">
        <f>1/(1+(10^($Y262/'[1]Teams'!$F$3)))</f>
        <v>#N/A</v>
      </c>
      <c r="X262" s="68" t="e">
        <f t="shared" si="53"/>
        <v>#N/A</v>
      </c>
      <c r="Y262" s="155" t="e">
        <f t="shared" si="54"/>
        <v>#N/A</v>
      </c>
      <c r="Z262" s="68" t="e">
        <f>ROUND($R262+(Teams!$H$2*($T262-$V262)),0)</f>
        <v>#N/A</v>
      </c>
      <c r="AA262" s="158" t="e">
        <f>ROUND($S262+(Teams!$H$2*($U262-$W262)),0)</f>
        <v>#N/A</v>
      </c>
    </row>
    <row r="263" spans="2:27" ht="12.75">
      <c r="B263" s="158">
        <v>14</v>
      </c>
      <c r="C263" s="173" t="s">
        <v>271</v>
      </c>
      <c r="D263" s="262">
        <v>10</v>
      </c>
      <c r="E263" s="263">
        <v>16</v>
      </c>
      <c r="F263" s="177" t="s">
        <v>77</v>
      </c>
      <c r="G263" s="179" t="str">
        <f>INDEX(Teams!$B$5:$H$45,MATCH(Results!$C263,Teams!$B$5:$B$45,0),3)</f>
        <v>Saunders Klijde Stadium</v>
      </c>
      <c r="H263" s="179" t="str">
        <f>INDEX(Teams!$B$5:$H$45,MATCH(Results!$C263,Teams!$B$5:$B$45,0),5)</f>
        <v>Big Eight</v>
      </c>
      <c r="I263" s="152" t="str">
        <f>INDEX(Teams!$B$5:$H$45,MATCH(Results!$C263,Teams!$B$5:$B$45,0),6)</f>
        <v>WAA</v>
      </c>
      <c r="J263" s="152" t="str">
        <f>INDEX(Teams!$B$5:$H$45,MATCH(Results!$F263,Teams!$B$5:$B$45,0),6)</f>
        <v>SAUG</v>
      </c>
      <c r="K263" s="69" t="str">
        <f t="shared" si="44"/>
        <v>WAASAUG</v>
      </c>
      <c r="L263" s="68" t="str">
        <f t="shared" si="45"/>
        <v>SAUG</v>
      </c>
      <c r="M263" s="68">
        <f t="shared" si="46"/>
        <v>1</v>
      </c>
      <c r="N263" s="68">
        <f t="shared" si="47"/>
        <v>6</v>
      </c>
      <c r="O263" s="68" t="str">
        <f t="shared" si="48"/>
        <v>Away</v>
      </c>
      <c r="P263" s="68" t="str">
        <f t="shared" si="49"/>
        <v>WAA14</v>
      </c>
      <c r="Q263" s="68" t="str">
        <f t="shared" si="50"/>
        <v>SAUG14</v>
      </c>
      <c r="R263" s="68" t="e">
        <f>INDEX(RankPoints!$B$4:$AK$19,$B263+1,MATCH(Results!$I263,RankPoints!$B$4:$AK$4,0))</f>
        <v>#N/A</v>
      </c>
      <c r="S263" s="68">
        <f>INDEX(RankPoints!$B$4:$AK$19,$B263+1,MATCH(Results!$J263,RankPoints!$B$4:$AK$4,0))</f>
        <v>1548</v>
      </c>
      <c r="T263" s="68">
        <f t="shared" si="51"/>
        <v>0</v>
      </c>
      <c r="U263" s="155">
        <f t="shared" si="52"/>
        <v>1</v>
      </c>
      <c r="V263" s="156" t="e">
        <f>1/(1+(10^($X263/'[1]Teams'!$F$3)))</f>
        <v>#N/A</v>
      </c>
      <c r="W263" s="157" t="e">
        <f>1/(1+(10^($Y263/'[1]Teams'!$F$3)))</f>
        <v>#N/A</v>
      </c>
      <c r="X263" s="68" t="e">
        <f t="shared" si="53"/>
        <v>#N/A</v>
      </c>
      <c r="Y263" s="155" t="e">
        <f t="shared" si="54"/>
        <v>#N/A</v>
      </c>
      <c r="Z263" s="68" t="e">
        <f>ROUND($R263+(Teams!$H$2*($T263-$V263)),0)</f>
        <v>#N/A</v>
      </c>
      <c r="AA263" s="158" t="e">
        <f>ROUND($S263+(Teams!$H$2*($U263-$W263)),0)</f>
        <v>#N/A</v>
      </c>
    </row>
    <row r="264" spans="2:27" ht="12.75">
      <c r="B264" s="158">
        <v>14</v>
      </c>
      <c r="C264" s="173" t="s">
        <v>148</v>
      </c>
      <c r="D264" s="262">
        <v>7</v>
      </c>
      <c r="E264" s="263">
        <v>13</v>
      </c>
      <c r="F264" s="177" t="s">
        <v>76</v>
      </c>
      <c r="G264" s="179" t="str">
        <f>INDEX(Teams!$B$5:$H$45,MATCH(Results!$C264,Teams!$B$5:$B$45,0),3)</f>
        <v>National Stadium</v>
      </c>
      <c r="H264" s="179" t="str">
        <f>INDEX(Teams!$B$5:$H$45,MATCH(Results!$C264,Teams!$B$5:$B$45,0),5)</f>
        <v>Big Eight</v>
      </c>
      <c r="I264" s="152" t="str">
        <f>INDEX(Teams!$B$5:$H$45,MATCH(Results!$C264,Teams!$B$5:$B$45,0),6)</f>
        <v>RELK</v>
      </c>
      <c r="J264" s="152" t="str">
        <f>INDEX(Teams!$B$5:$H$45,MATCH(Results!$F264,Teams!$B$5:$B$45,0),6)</f>
        <v>SCTT</v>
      </c>
      <c r="K264" s="69" t="str">
        <f t="shared" si="44"/>
        <v>RELKSCTT</v>
      </c>
      <c r="L264" s="68" t="str">
        <f t="shared" si="45"/>
        <v>SCTT</v>
      </c>
      <c r="M264" s="68">
        <f t="shared" si="46"/>
        <v>1</v>
      </c>
      <c r="N264" s="68">
        <f t="shared" si="47"/>
        <v>6</v>
      </c>
      <c r="O264" s="68" t="str">
        <f t="shared" si="48"/>
        <v>Away</v>
      </c>
      <c r="P264" s="68" t="str">
        <f t="shared" si="49"/>
        <v>RELK14</v>
      </c>
      <c r="Q264" s="68" t="str">
        <f t="shared" si="50"/>
        <v>SCTT14</v>
      </c>
      <c r="R264" s="68" t="e">
        <f>INDEX(RankPoints!$B$4:$AK$19,$B264+1,MATCH(Results!$I264,RankPoints!$B$4:$AK$4,0))</f>
        <v>#N/A</v>
      </c>
      <c r="S264" s="68">
        <f>INDEX(RankPoints!$B$4:$AK$19,$B264+1,MATCH(Results!$J264,RankPoints!$B$4:$AK$4,0))</f>
        <v>1651</v>
      </c>
      <c r="T264" s="68">
        <f t="shared" si="51"/>
        <v>0</v>
      </c>
      <c r="U264" s="155">
        <f t="shared" si="52"/>
        <v>1</v>
      </c>
      <c r="V264" s="156" t="e">
        <f>1/(1+(10^($X264/'[1]Teams'!$F$3)))</f>
        <v>#N/A</v>
      </c>
      <c r="W264" s="157" t="e">
        <f>1/(1+(10^($Y264/'[1]Teams'!$F$3)))</f>
        <v>#N/A</v>
      </c>
      <c r="X264" s="68" t="e">
        <f t="shared" si="53"/>
        <v>#N/A</v>
      </c>
      <c r="Y264" s="155" t="e">
        <f t="shared" si="54"/>
        <v>#N/A</v>
      </c>
      <c r="Z264" s="68" t="e">
        <f>ROUND($R264+(Teams!$H$2*($T264-$V264)),0)</f>
        <v>#N/A</v>
      </c>
      <c r="AA264" s="158" t="e">
        <f>ROUND($S264+(Teams!$H$2*($U264-$W264)),0)</f>
        <v>#N/A</v>
      </c>
    </row>
    <row r="265" spans="2:27" ht="12.75">
      <c r="B265" s="158">
        <v>14</v>
      </c>
      <c r="C265" s="173" t="s">
        <v>270</v>
      </c>
      <c r="D265" s="262">
        <v>10</v>
      </c>
      <c r="E265" s="263">
        <v>3</v>
      </c>
      <c r="F265" s="177" t="s">
        <v>124</v>
      </c>
      <c r="G265" s="179" t="str">
        <f>INDEX(Teams!$B$5:$H$45,MATCH(Results!$C265,Teams!$B$5:$B$45,0),3)</f>
        <v>Bugny Stadium</v>
      </c>
      <c r="H265" s="179" t="str">
        <f>INDEX(Teams!$B$5:$H$45,MATCH(Results!$C265,Teams!$B$5:$B$45,0),5)</f>
        <v>Big Eight</v>
      </c>
      <c r="I265" s="152" t="str">
        <f>INDEX(Teams!$B$5:$H$45,MATCH(Results!$C265,Teams!$B$5:$B$45,0),6)</f>
        <v>BUGN</v>
      </c>
      <c r="J265" s="152" t="str">
        <f>INDEX(Teams!$B$5:$H$45,MATCH(Results!$F265,Teams!$B$5:$B$45,0),6)</f>
        <v>TIMC</v>
      </c>
      <c r="K265" s="69" t="str">
        <f t="shared" si="44"/>
        <v>BUGNTIMC</v>
      </c>
      <c r="L265" s="68" t="str">
        <f t="shared" si="45"/>
        <v>BUGN</v>
      </c>
      <c r="M265" s="68">
        <f t="shared" si="46"/>
        <v>1</v>
      </c>
      <c r="N265" s="68">
        <f t="shared" si="47"/>
        <v>7</v>
      </c>
      <c r="O265" s="68" t="str">
        <f t="shared" si="48"/>
        <v>Home</v>
      </c>
      <c r="P265" s="68" t="str">
        <f t="shared" si="49"/>
        <v>BUGN14</v>
      </c>
      <c r="Q265" s="68" t="str">
        <f t="shared" si="50"/>
        <v>TIMC14</v>
      </c>
      <c r="R265" s="68">
        <f>INDEX(RankPoints!$B$4:$AK$19,$B265+1,MATCH(Results!$I265,RankPoints!$B$4:$AK$4,0))</f>
        <v>-1516</v>
      </c>
      <c r="S265" s="68" t="e">
        <f>INDEX(RankPoints!$B$4:$AK$19,$B265+1,MATCH(Results!$J265,RankPoints!$B$4:$AK$4,0))</f>
        <v>#N/A</v>
      </c>
      <c r="T265" s="68">
        <f t="shared" si="51"/>
        <v>1</v>
      </c>
      <c r="U265" s="155">
        <f t="shared" si="52"/>
        <v>0</v>
      </c>
      <c r="V265" s="156" t="e">
        <f>1/(1+(10^($X265/'[1]Teams'!$F$3)))</f>
        <v>#N/A</v>
      </c>
      <c r="W265" s="157" t="e">
        <f>1/(1+(10^($Y265/'[1]Teams'!$F$3)))</f>
        <v>#N/A</v>
      </c>
      <c r="X265" s="68" t="e">
        <f t="shared" si="53"/>
        <v>#N/A</v>
      </c>
      <c r="Y265" s="155" t="e">
        <f t="shared" si="54"/>
        <v>#N/A</v>
      </c>
      <c r="Z265" s="68" t="e">
        <f>ROUND($R265+(Teams!$H$2*($T265-$V265)),0)</f>
        <v>#N/A</v>
      </c>
      <c r="AA265" s="158" t="e">
        <f>ROUND($S265+(Teams!$H$2*($U265-$W265)),0)</f>
        <v>#N/A</v>
      </c>
    </row>
    <row r="266" spans="2:27" ht="12.75">
      <c r="B266" s="158">
        <v>14</v>
      </c>
      <c r="C266" s="173" t="s">
        <v>144</v>
      </c>
      <c r="D266" s="262">
        <v>16</v>
      </c>
      <c r="E266" s="263">
        <v>20</v>
      </c>
      <c r="F266" s="177" t="s">
        <v>154</v>
      </c>
      <c r="G266" s="179" t="str">
        <f>INDEX(Teams!$B$5:$H$45,MATCH(Results!$C266,Teams!$B$5:$B$45,0),3)</f>
        <v>Cradence Stadium</v>
      </c>
      <c r="H266" s="179" t="str">
        <f>INDEX(Teams!$B$5:$H$45,MATCH(Results!$C266,Teams!$B$5:$B$45,0),5)</f>
        <v>Big Eight</v>
      </c>
      <c r="I266" s="152" t="str">
        <f>INDEX(Teams!$B$5:$H$45,MATCH(Results!$C266,Teams!$B$5:$B$45,0),6)</f>
        <v>ARLN</v>
      </c>
      <c r="J266" s="152" t="str">
        <f>INDEX(Teams!$B$5:$H$45,MATCH(Results!$F266,Teams!$B$5:$B$45,0),6)</f>
        <v>NOBL</v>
      </c>
      <c r="K266" s="69" t="str">
        <f t="shared" si="44"/>
        <v>ARLNNOBL</v>
      </c>
      <c r="L266" s="68" t="str">
        <f t="shared" si="45"/>
        <v>NOBL</v>
      </c>
      <c r="M266" s="68">
        <f t="shared" si="46"/>
        <v>1</v>
      </c>
      <c r="N266" s="68">
        <f t="shared" si="47"/>
        <v>4</v>
      </c>
      <c r="O266" s="68" t="str">
        <f t="shared" si="48"/>
        <v>Away</v>
      </c>
      <c r="P266" s="68" t="str">
        <f t="shared" si="49"/>
        <v>ARLN14</v>
      </c>
      <c r="Q266" s="68" t="str">
        <f t="shared" si="50"/>
        <v>NOBL14</v>
      </c>
      <c r="R266" s="68" t="e">
        <f>INDEX(RankPoints!$B$4:$AK$19,$B266+1,MATCH(Results!$I266,RankPoints!$B$4:$AK$4,0))</f>
        <v>#N/A</v>
      </c>
      <c r="S266" s="68" t="e">
        <f>INDEX(RankPoints!$B$4:$AK$19,$B266+1,MATCH(Results!$J266,RankPoints!$B$4:$AK$4,0))</f>
        <v>#N/A</v>
      </c>
      <c r="T266" s="68">
        <f t="shared" si="51"/>
        <v>0</v>
      </c>
      <c r="U266" s="155">
        <f t="shared" si="52"/>
        <v>1</v>
      </c>
      <c r="V266" s="156" t="e">
        <f>1/(1+(10^($X266/'[1]Teams'!$F$3)))</f>
        <v>#N/A</v>
      </c>
      <c r="W266" s="157" t="e">
        <f>1/(1+(10^($Y266/'[1]Teams'!$F$3)))</f>
        <v>#N/A</v>
      </c>
      <c r="X266" s="68" t="e">
        <f t="shared" si="53"/>
        <v>#N/A</v>
      </c>
      <c r="Y266" s="155" t="e">
        <f t="shared" si="54"/>
        <v>#N/A</v>
      </c>
      <c r="Z266" s="68" t="e">
        <f>ROUND($R266+(Teams!$H$2*($T266-$V266)),0)</f>
        <v>#N/A</v>
      </c>
      <c r="AA266" s="158" t="e">
        <f>ROUND($S266+(Teams!$H$2*($U266-$W266)),0)</f>
        <v>#N/A</v>
      </c>
    </row>
    <row r="267" spans="2:27" ht="12.75">
      <c r="B267" s="158">
        <v>14</v>
      </c>
      <c r="C267" s="173" t="s">
        <v>248</v>
      </c>
      <c r="D267" s="262">
        <v>24</v>
      </c>
      <c r="E267" s="263">
        <v>7</v>
      </c>
      <c r="F267" s="177" t="s">
        <v>21</v>
      </c>
      <c r="G267" s="179" t="str">
        <f>INDEX(Teams!$B$5:$H$45,MATCH(Results!$C267,Teams!$B$5:$B$45,0),3)</f>
        <v>Dorrel Stadium</v>
      </c>
      <c r="H267" s="179" t="str">
        <f>INDEX(Teams!$B$5:$H$45,MATCH(Results!$C267,Teams!$B$5:$B$45,0),5)</f>
        <v>Horizon</v>
      </c>
      <c r="I267" s="152" t="str">
        <f>INDEX(Teams!$B$5:$H$45,MATCH(Results!$C267,Teams!$B$5:$B$45,0),6)</f>
        <v>COLD</v>
      </c>
      <c r="J267" s="152" t="str">
        <f>INDEX(Teams!$B$5:$H$45,MATCH(Results!$F267,Teams!$B$5:$B$45,0),6)</f>
        <v>STON</v>
      </c>
      <c r="K267" s="69" t="str">
        <f t="shared" si="44"/>
        <v>COLDSTON</v>
      </c>
      <c r="L267" s="68" t="str">
        <f t="shared" si="45"/>
        <v>COLD</v>
      </c>
      <c r="M267" s="68">
        <f t="shared" si="46"/>
        <v>1</v>
      </c>
      <c r="N267" s="68">
        <f t="shared" si="47"/>
        <v>17</v>
      </c>
      <c r="O267" s="68" t="str">
        <f t="shared" si="48"/>
        <v>Home</v>
      </c>
      <c r="P267" s="68" t="str">
        <f t="shared" si="49"/>
        <v>COLD14</v>
      </c>
      <c r="Q267" s="68" t="str">
        <f t="shared" si="50"/>
        <v>STON14</v>
      </c>
      <c r="R267" s="68">
        <f>INDEX(RankPoints!$B$4:$AK$19,$B267+1,MATCH(Results!$I267,RankPoints!$B$4:$AK$4,0))</f>
        <v>2635</v>
      </c>
      <c r="S267" s="68">
        <f>INDEX(RankPoints!$B$4:$AK$19,$B267+1,MATCH(Results!$J267,RankPoints!$B$4:$AK$4,0))</f>
        <v>2850</v>
      </c>
      <c r="T267" s="68">
        <f t="shared" si="51"/>
        <v>1</v>
      </c>
      <c r="U267" s="155">
        <f t="shared" si="52"/>
        <v>0</v>
      </c>
      <c r="V267" s="156">
        <f>1/(1+(10^($X267/'[1]Teams'!$F$3)))</f>
        <v>0.7751528656496841</v>
      </c>
      <c r="W267" s="157">
        <f>1/(1+(10^($Y267/'[1]Teams'!$F$3)))</f>
        <v>0.2248471343503159</v>
      </c>
      <c r="X267" s="68">
        <f t="shared" si="53"/>
        <v>-215</v>
      </c>
      <c r="Y267" s="155">
        <f t="shared" si="54"/>
        <v>215</v>
      </c>
      <c r="Z267" s="68">
        <f>ROUND($R267+(Teams!$H$2*($T267-$V267)),0)</f>
        <v>2642</v>
      </c>
      <c r="AA267" s="158">
        <f>ROUND($S267+(Teams!$H$2*($U267-$W267)),0)</f>
        <v>2843</v>
      </c>
    </row>
    <row r="268" spans="2:27" ht="12.75">
      <c r="B268" s="158">
        <v>14</v>
      </c>
      <c r="C268" s="173" t="s">
        <v>153</v>
      </c>
      <c r="D268" s="262">
        <v>12</v>
      </c>
      <c r="E268" s="263">
        <v>3</v>
      </c>
      <c r="F268" s="177" t="s">
        <v>151</v>
      </c>
      <c r="G268" s="179" t="str">
        <f>INDEX(Teams!$B$5:$H$45,MATCH(Results!$C268,Teams!$B$5:$B$45,0),3)</f>
        <v>Cheikanwa Stadium</v>
      </c>
      <c r="H268" s="179" t="str">
        <f>INDEX(Teams!$B$5:$H$45,MATCH(Results!$C268,Teams!$B$5:$B$45,0),5)</f>
        <v>Horizon</v>
      </c>
      <c r="I268" s="152" t="str">
        <f>INDEX(Teams!$B$5:$H$45,MATCH(Results!$C268,Teams!$B$5:$B$45,0),6)</f>
        <v>RSTU</v>
      </c>
      <c r="J268" s="152" t="str">
        <f>INDEX(Teams!$B$5:$H$45,MATCH(Results!$F268,Teams!$B$5:$B$45,0),6)</f>
        <v>OLYM</v>
      </c>
      <c r="K268" s="69" t="str">
        <f t="shared" si="44"/>
        <v>RSTUOLYM</v>
      </c>
      <c r="L268" s="68" t="str">
        <f t="shared" si="45"/>
        <v>RSTU</v>
      </c>
      <c r="M268" s="68">
        <f t="shared" si="46"/>
        <v>1</v>
      </c>
      <c r="N268" s="68">
        <f t="shared" si="47"/>
        <v>9</v>
      </c>
      <c r="O268" s="68" t="str">
        <f t="shared" si="48"/>
        <v>Home</v>
      </c>
      <c r="P268" s="68" t="str">
        <f t="shared" si="49"/>
        <v>RSTU14</v>
      </c>
      <c r="Q268" s="68" t="str">
        <f t="shared" si="50"/>
        <v>OLYM14</v>
      </c>
      <c r="R268" s="68" t="e">
        <f>INDEX(RankPoints!$B$4:$AK$19,$B268+1,MATCH(Results!$I268,RankPoints!$B$4:$AK$4,0))</f>
        <v>#N/A</v>
      </c>
      <c r="S268" s="68" t="e">
        <f>INDEX(RankPoints!$B$4:$AK$19,$B268+1,MATCH(Results!$J268,RankPoints!$B$4:$AK$4,0))</f>
        <v>#N/A</v>
      </c>
      <c r="T268" s="68">
        <f t="shared" si="51"/>
        <v>1</v>
      </c>
      <c r="U268" s="155">
        <f t="shared" si="52"/>
        <v>0</v>
      </c>
      <c r="V268" s="156" t="e">
        <f>1/(1+(10^($X268/'[1]Teams'!$F$3)))</f>
        <v>#N/A</v>
      </c>
      <c r="W268" s="157" t="e">
        <f>1/(1+(10^($Y268/'[1]Teams'!$F$3)))</f>
        <v>#N/A</v>
      </c>
      <c r="X268" s="68" t="e">
        <f t="shared" si="53"/>
        <v>#N/A</v>
      </c>
      <c r="Y268" s="155" t="e">
        <f t="shared" si="54"/>
        <v>#N/A</v>
      </c>
      <c r="Z268" s="68" t="e">
        <f>ROUND($R268+(Teams!$H$2*($T268-$V268)),0)</f>
        <v>#N/A</v>
      </c>
      <c r="AA268" s="158" t="e">
        <f>ROUND($S268+(Teams!$H$2*($U268-$W268)),0)</f>
        <v>#N/A</v>
      </c>
    </row>
    <row r="269" spans="2:27" ht="12.75">
      <c r="B269" s="158">
        <v>14</v>
      </c>
      <c r="C269" s="173" t="s">
        <v>20</v>
      </c>
      <c r="D269" s="262">
        <v>28</v>
      </c>
      <c r="E269" s="263">
        <v>10</v>
      </c>
      <c r="F269" s="177" t="s">
        <v>149</v>
      </c>
      <c r="G269" s="179" t="str">
        <f>INDEX(Teams!$B$5:$H$45,MATCH(Results!$C269,Teams!$B$5:$B$45,0),3)</f>
        <v>Capital Coliseum</v>
      </c>
      <c r="H269" s="179" t="str">
        <f>INDEX(Teams!$B$5:$H$45,MATCH(Results!$C269,Teams!$B$5:$B$45,0),5)</f>
        <v>Horizon</v>
      </c>
      <c r="I269" s="152" t="str">
        <f>INDEX(Teams!$B$5:$H$45,MATCH(Results!$C269,Teams!$B$5:$B$45,0),6)</f>
        <v>RCU</v>
      </c>
      <c r="J269" s="152" t="str">
        <f>INDEX(Teams!$B$5:$H$45,MATCH(Results!$F269,Teams!$B$5:$B$45,0),6)</f>
        <v>USPN</v>
      </c>
      <c r="K269" s="69" t="str">
        <f t="shared" si="44"/>
        <v>RCUUSPN</v>
      </c>
      <c r="L269" s="68" t="str">
        <f t="shared" si="45"/>
        <v>RCU</v>
      </c>
      <c r="M269" s="68">
        <f t="shared" si="46"/>
        <v>1</v>
      </c>
      <c r="N269" s="68">
        <f t="shared" si="47"/>
        <v>18</v>
      </c>
      <c r="O269" s="68" t="str">
        <f t="shared" si="48"/>
        <v>Home</v>
      </c>
      <c r="P269" s="68" t="str">
        <f t="shared" si="49"/>
        <v>RCU14</v>
      </c>
      <c r="Q269" s="68" t="str">
        <f t="shared" si="50"/>
        <v>USPN14</v>
      </c>
      <c r="R269" s="68">
        <f>INDEX(RankPoints!$B$4:$AK$19,$B269+1,MATCH(Results!$I269,RankPoints!$B$4:$AK$4,0))</f>
        <v>-1287</v>
      </c>
      <c r="S269" s="68" t="e">
        <f>INDEX(RankPoints!$B$4:$AK$19,$B269+1,MATCH(Results!$J269,RankPoints!$B$4:$AK$4,0))</f>
        <v>#N/A</v>
      </c>
      <c r="T269" s="68">
        <f t="shared" si="51"/>
        <v>1</v>
      </c>
      <c r="U269" s="155">
        <f t="shared" si="52"/>
        <v>0</v>
      </c>
      <c r="V269" s="156" t="e">
        <f>1/(1+(10^($X269/'[1]Teams'!$F$3)))</f>
        <v>#N/A</v>
      </c>
      <c r="W269" s="157" t="e">
        <f>1/(1+(10^($Y269/'[1]Teams'!$F$3)))</f>
        <v>#N/A</v>
      </c>
      <c r="X269" s="68" t="e">
        <f t="shared" si="53"/>
        <v>#N/A</v>
      </c>
      <c r="Y269" s="155" t="e">
        <f t="shared" si="54"/>
        <v>#N/A</v>
      </c>
      <c r="Z269" s="68" t="e">
        <f>ROUND($R269+(Teams!$H$2*($T269-$V269)),0)</f>
        <v>#N/A</v>
      </c>
      <c r="AA269" s="158" t="e">
        <f>ROUND($S269+(Teams!$H$2*($U269-$W269)),0)</f>
        <v>#N/A</v>
      </c>
    </row>
    <row r="270" spans="2:27" ht="12.75">
      <c r="B270" s="158">
        <v>14</v>
      </c>
      <c r="C270" s="173" t="s">
        <v>145</v>
      </c>
      <c r="D270" s="262">
        <v>14</v>
      </c>
      <c r="E270" s="263">
        <v>7</v>
      </c>
      <c r="F270" s="177" t="s">
        <v>157</v>
      </c>
      <c r="G270" s="179" t="str">
        <f>INDEX(Teams!$B$5:$H$45,MATCH(Results!$C270,Teams!$B$5:$B$45,0),3)</f>
        <v>Indana Municipal Field</v>
      </c>
      <c r="H270" s="179" t="str">
        <f>INDEX(Teams!$B$5:$H$45,MATCH(Results!$C270,Teams!$B$5:$B$45,0),5)</f>
        <v>Horizon</v>
      </c>
      <c r="I270" s="152" t="str">
        <f>INDEX(Teams!$B$5:$H$45,MATCH(Results!$C270,Teams!$B$5:$B$45,0),6)</f>
        <v>INDN</v>
      </c>
      <c r="J270" s="152" t="str">
        <f>INDEX(Teams!$B$5:$H$45,MATCH(Results!$F270,Teams!$B$5:$B$45,0),6)</f>
        <v>WIEN</v>
      </c>
      <c r="K270" s="69" t="str">
        <f t="shared" si="44"/>
        <v>INDNWIEN</v>
      </c>
      <c r="L270" s="68" t="str">
        <f t="shared" si="45"/>
        <v>INDN</v>
      </c>
      <c r="M270" s="68">
        <f t="shared" si="46"/>
        <v>1</v>
      </c>
      <c r="N270" s="68">
        <f t="shared" si="47"/>
        <v>7</v>
      </c>
      <c r="O270" s="68" t="str">
        <f t="shared" si="48"/>
        <v>Home</v>
      </c>
      <c r="P270" s="68" t="str">
        <f t="shared" si="49"/>
        <v>INDN14</v>
      </c>
      <c r="Q270" s="68" t="str">
        <f t="shared" si="50"/>
        <v>WIEN14</v>
      </c>
      <c r="R270" s="68" t="e">
        <f>INDEX(RankPoints!$B$4:$AK$19,$B270+1,MATCH(Results!$I270,RankPoints!$B$4:$AK$4,0))</f>
        <v>#N/A</v>
      </c>
      <c r="S270" s="68" t="e">
        <f>INDEX(RankPoints!$B$4:$AK$19,$B270+1,MATCH(Results!$J270,RankPoints!$B$4:$AK$4,0))</f>
        <v>#N/A</v>
      </c>
      <c r="T270" s="68">
        <f t="shared" si="51"/>
        <v>1</v>
      </c>
      <c r="U270" s="155">
        <f t="shared" si="52"/>
        <v>0</v>
      </c>
      <c r="V270" s="156" t="e">
        <f>1/(1+(10^($X270/'[1]Teams'!$F$3)))</f>
        <v>#N/A</v>
      </c>
      <c r="W270" s="157" t="e">
        <f>1/(1+(10^($Y270/'[1]Teams'!$F$3)))</f>
        <v>#N/A</v>
      </c>
      <c r="X270" s="68" t="e">
        <f t="shared" si="53"/>
        <v>#N/A</v>
      </c>
      <c r="Y270" s="155" t="e">
        <f t="shared" si="54"/>
        <v>#N/A</v>
      </c>
      <c r="Z270" s="68" t="e">
        <f>ROUND($R270+(Teams!$H$2*($T270-$V270)),0)</f>
        <v>#N/A</v>
      </c>
      <c r="AA270" s="158" t="e">
        <f>ROUND($S270+(Teams!$H$2*($U270-$W270)),0)</f>
        <v>#N/A</v>
      </c>
    </row>
    <row r="271" spans="2:27" ht="12.75">
      <c r="B271" s="158">
        <v>14</v>
      </c>
      <c r="C271" s="173" t="s">
        <v>121</v>
      </c>
      <c r="D271" s="262">
        <v>7</v>
      </c>
      <c r="E271" s="263">
        <v>17</v>
      </c>
      <c r="F271" s="177" t="s">
        <v>266</v>
      </c>
      <c r="G271" s="179" t="str">
        <f>INDEX(Teams!$B$5:$H$45,MATCH(Results!$C271,Teams!$B$5:$B$45,0),3)</f>
        <v>P. K. Morgan &amp; Sons Field</v>
      </c>
      <c r="H271" s="179" t="str">
        <f>INDEX(Teams!$B$5:$H$45,MATCH(Results!$C271,Teams!$B$5:$B$45,0),5)</f>
        <v>Mineral</v>
      </c>
      <c r="I271" s="152" t="str">
        <f>INDEX(Teams!$B$5:$H$45,MATCH(Results!$C271,Teams!$B$5:$B$45,0),6)</f>
        <v>CRGA</v>
      </c>
      <c r="J271" s="152" t="str">
        <f>INDEX(Teams!$B$5:$H$45,MATCH(Results!$F271,Teams!$B$5:$B$45,0),6)</f>
        <v>UPSL</v>
      </c>
      <c r="K271" s="69" t="str">
        <f t="shared" si="44"/>
        <v>CRGAUPSL</v>
      </c>
      <c r="L271" s="68" t="str">
        <f t="shared" si="45"/>
        <v>UPSL</v>
      </c>
      <c r="M271" s="68">
        <f t="shared" si="46"/>
        <v>1</v>
      </c>
      <c r="N271" s="68">
        <f t="shared" si="47"/>
        <v>10</v>
      </c>
      <c r="O271" s="68" t="str">
        <f t="shared" si="48"/>
        <v>Away</v>
      </c>
      <c r="P271" s="68" t="str">
        <f t="shared" si="49"/>
        <v>CRGA14</v>
      </c>
      <c r="Q271" s="68" t="str">
        <f t="shared" si="50"/>
        <v>UPSL14</v>
      </c>
      <c r="R271" s="68" t="e">
        <f>INDEX(RankPoints!$B$4:$AK$19,$B271+1,MATCH(Results!$I271,RankPoints!$B$4:$AK$4,0))</f>
        <v>#N/A</v>
      </c>
      <c r="S271" s="68">
        <f>INDEX(RankPoints!$B$4:$AK$19,$B271+1,MATCH(Results!$J271,RankPoints!$B$4:$AK$4,0))</f>
        <v>1516</v>
      </c>
      <c r="T271" s="68">
        <f t="shared" si="51"/>
        <v>0</v>
      </c>
      <c r="U271" s="155">
        <f t="shared" si="52"/>
        <v>1</v>
      </c>
      <c r="V271" s="156" t="e">
        <f>1/(1+(10^($X271/'[1]Teams'!$F$3)))</f>
        <v>#N/A</v>
      </c>
      <c r="W271" s="157" t="e">
        <f>1/(1+(10^($Y271/'[1]Teams'!$F$3)))</f>
        <v>#N/A</v>
      </c>
      <c r="X271" s="68" t="e">
        <f t="shared" si="53"/>
        <v>#N/A</v>
      </c>
      <c r="Y271" s="155" t="e">
        <f t="shared" si="54"/>
        <v>#N/A</v>
      </c>
      <c r="Z271" s="68" t="e">
        <f>ROUND($R271+(Teams!$H$2*($T271-$V271)),0)</f>
        <v>#N/A</v>
      </c>
      <c r="AA271" s="158" t="e">
        <f>ROUND($S271+(Teams!$H$2*($U271-$W271)),0)</f>
        <v>#N/A</v>
      </c>
    </row>
    <row r="272" spans="2:27" ht="12.75">
      <c r="B272" s="158">
        <v>14</v>
      </c>
      <c r="C272" s="173" t="s">
        <v>150</v>
      </c>
      <c r="D272" s="262">
        <v>9</v>
      </c>
      <c r="E272" s="263">
        <v>31</v>
      </c>
      <c r="F272" s="177" t="s">
        <v>251</v>
      </c>
      <c r="G272" s="179" t="str">
        <f>INDEX(Teams!$B$5:$H$45,MATCH(Results!$C272,Teams!$B$5:$B$45,0),3)</f>
        <v>Roger Jalston Memorial Stadium</v>
      </c>
      <c r="H272" s="179" t="str">
        <f>INDEX(Teams!$B$5:$H$45,MATCH(Results!$C272,Teams!$B$5:$B$45,0),5)</f>
        <v>Mineral</v>
      </c>
      <c r="I272" s="152" t="str">
        <f>INDEX(Teams!$B$5:$H$45,MATCH(Results!$C272,Teams!$B$5:$B$45,0),6)</f>
        <v>RICH</v>
      </c>
      <c r="J272" s="152" t="str">
        <f>INDEX(Teams!$B$5:$H$45,MATCH(Results!$F272,Teams!$B$5:$B$45,0),6)</f>
        <v>HRLP</v>
      </c>
      <c r="K272" s="69" t="str">
        <f t="shared" si="44"/>
        <v>RICHHRLP</v>
      </c>
      <c r="L272" s="68" t="str">
        <f t="shared" si="45"/>
        <v>HRLP</v>
      </c>
      <c r="M272" s="68">
        <f t="shared" si="46"/>
        <v>1</v>
      </c>
      <c r="N272" s="68">
        <f t="shared" si="47"/>
        <v>22</v>
      </c>
      <c r="O272" s="68" t="str">
        <f t="shared" si="48"/>
        <v>Away</v>
      </c>
      <c r="P272" s="68" t="str">
        <f t="shared" si="49"/>
        <v>RICH14</v>
      </c>
      <c r="Q272" s="68" t="str">
        <f t="shared" si="50"/>
        <v>HRLP14</v>
      </c>
      <c r="R272" s="68" t="e">
        <f>INDEX(RankPoints!$B$4:$AK$19,$B272+1,MATCH(Results!$I272,RankPoints!$B$4:$AK$4,0))</f>
        <v>#N/A</v>
      </c>
      <c r="S272" s="68" t="e">
        <f>INDEX(RankPoints!$B$4:$AK$19,$B272+1,MATCH(Results!$J272,RankPoints!$B$4:$AK$4,0))</f>
        <v>#N/A</v>
      </c>
      <c r="T272" s="68">
        <f t="shared" si="51"/>
        <v>0</v>
      </c>
      <c r="U272" s="155">
        <f t="shared" si="52"/>
        <v>1</v>
      </c>
      <c r="V272" s="156" t="e">
        <f>1/(1+(10^($X272/'[1]Teams'!$F$3)))</f>
        <v>#N/A</v>
      </c>
      <c r="W272" s="157" t="e">
        <f>1/(1+(10^($Y272/'[1]Teams'!$F$3)))</f>
        <v>#N/A</v>
      </c>
      <c r="X272" s="68" t="e">
        <f t="shared" si="53"/>
        <v>#N/A</v>
      </c>
      <c r="Y272" s="155" t="e">
        <f t="shared" si="54"/>
        <v>#N/A</v>
      </c>
      <c r="Z272" s="68" t="e">
        <f>ROUND($R272+(Teams!$H$2*($T272-$V272)),0)</f>
        <v>#N/A</v>
      </c>
      <c r="AA272" s="158" t="e">
        <f>ROUND($S272+(Teams!$H$2*($U272-$W272)),0)</f>
        <v>#N/A</v>
      </c>
    </row>
    <row r="273" spans="2:27" ht="12.75">
      <c r="B273" s="158">
        <v>14</v>
      </c>
      <c r="C273" s="173" t="s">
        <v>155</v>
      </c>
      <c r="D273" s="262">
        <v>20</v>
      </c>
      <c r="E273" s="263">
        <v>14</v>
      </c>
      <c r="F273" s="177" t="s">
        <v>146</v>
      </c>
      <c r="G273" s="179" t="str">
        <f>INDEX(Teams!$B$5:$H$45,MATCH(Results!$C273,Teams!$B$5:$B$45,0),3)</f>
        <v>East Kilbride Area</v>
      </c>
      <c r="H273" s="179" t="str">
        <f>INDEX(Teams!$B$5:$H$45,MATCH(Results!$C273,Teams!$B$5:$B$45,0),5)</f>
        <v>Mineral</v>
      </c>
      <c r="I273" s="152" t="str">
        <f>INDEX(Teams!$B$5:$H$45,MATCH(Results!$C273,Teams!$B$5:$B$45,0),6)</f>
        <v>EKIL</v>
      </c>
      <c r="J273" s="152" t="str">
        <f>INDEX(Teams!$B$5:$H$45,MATCH(Results!$F273,Teams!$B$5:$B$45,0),6)</f>
        <v>WSIT</v>
      </c>
      <c r="K273" s="69" t="str">
        <f t="shared" si="44"/>
        <v>EKILWSIT</v>
      </c>
      <c r="L273" s="68" t="str">
        <f t="shared" si="45"/>
        <v>EKIL</v>
      </c>
      <c r="M273" s="68">
        <f t="shared" si="46"/>
        <v>1</v>
      </c>
      <c r="N273" s="68">
        <f t="shared" si="47"/>
        <v>6</v>
      </c>
      <c r="O273" s="68" t="str">
        <f t="shared" si="48"/>
        <v>Home</v>
      </c>
      <c r="P273" s="68" t="str">
        <f t="shared" si="49"/>
        <v>EKIL14</v>
      </c>
      <c r="Q273" s="68" t="str">
        <f t="shared" si="50"/>
        <v>WSIT14</v>
      </c>
      <c r="R273" s="68" t="e">
        <f>INDEX(RankPoints!$B$4:$AK$19,$B273+1,MATCH(Results!$I273,RankPoints!$B$4:$AK$4,0))</f>
        <v>#N/A</v>
      </c>
      <c r="S273" s="68" t="e">
        <f>INDEX(RankPoints!$B$4:$AK$19,$B273+1,MATCH(Results!$J273,RankPoints!$B$4:$AK$4,0))</f>
        <v>#N/A</v>
      </c>
      <c r="T273" s="68">
        <f t="shared" si="51"/>
        <v>1</v>
      </c>
      <c r="U273" s="155">
        <f t="shared" si="52"/>
        <v>0</v>
      </c>
      <c r="V273" s="156" t="e">
        <f>1/(1+(10^($X273/'[1]Teams'!$F$3)))</f>
        <v>#N/A</v>
      </c>
      <c r="W273" s="157" t="e">
        <f>1/(1+(10^($Y273/'[1]Teams'!$F$3)))</f>
        <v>#N/A</v>
      </c>
      <c r="X273" s="68" t="e">
        <f t="shared" si="53"/>
        <v>#N/A</v>
      </c>
      <c r="Y273" s="155" t="e">
        <f t="shared" si="54"/>
        <v>#N/A</v>
      </c>
      <c r="Z273" s="68" t="e">
        <f>ROUND($R273+(Teams!$H$2*($T273-$V273)),0)</f>
        <v>#N/A</v>
      </c>
      <c r="AA273" s="158" t="e">
        <f>ROUND($S273+(Teams!$H$2*($U273-$W273)),0)</f>
        <v>#N/A</v>
      </c>
    </row>
    <row r="274" spans="2:27" ht="12.75">
      <c r="B274" s="158">
        <v>14</v>
      </c>
      <c r="C274" s="173" t="s">
        <v>156</v>
      </c>
      <c r="D274" s="262">
        <v>17</v>
      </c>
      <c r="E274" s="263">
        <v>20</v>
      </c>
      <c r="F274" s="177" t="s">
        <v>80</v>
      </c>
      <c r="G274" s="179" t="str">
        <f>INDEX(Teams!$B$5:$H$45,MATCH(Results!$C274,Teams!$B$5:$B$45,0),3)</f>
        <v>Luis Cod Memorial Stadium</v>
      </c>
      <c r="H274" s="179" t="str">
        <f>INDEX(Teams!$B$5:$H$45,MATCH(Results!$C274,Teams!$B$5:$B$45,0),5)</f>
        <v>Mineral</v>
      </c>
      <c r="I274" s="152" t="str">
        <f>INDEX(Teams!$B$5:$H$45,MATCH(Results!$C274,Teams!$B$5:$B$45,0),6)</f>
        <v>BLUE</v>
      </c>
      <c r="J274" s="152" t="str">
        <f>INDEX(Teams!$B$5:$H$45,MATCH(Results!$F274,Teams!$B$5:$B$45,0),6)</f>
        <v>OCSU</v>
      </c>
      <c r="K274" s="69" t="str">
        <f t="shared" si="44"/>
        <v>BLUEOCSU</v>
      </c>
      <c r="L274" s="68" t="str">
        <f t="shared" si="45"/>
        <v>OCSU</v>
      </c>
      <c r="M274" s="68">
        <f t="shared" si="46"/>
        <v>1</v>
      </c>
      <c r="N274" s="68">
        <f t="shared" si="47"/>
        <v>3</v>
      </c>
      <c r="O274" s="68" t="str">
        <f t="shared" si="48"/>
        <v>Away</v>
      </c>
      <c r="P274" s="68" t="str">
        <f t="shared" si="49"/>
        <v>BLUE14</v>
      </c>
      <c r="Q274" s="68" t="str">
        <f t="shared" si="50"/>
        <v>OCSU14</v>
      </c>
      <c r="R274" s="68" t="e">
        <f>INDEX(RankPoints!$B$4:$AK$19,$B274+1,MATCH(Results!$I274,RankPoints!$B$4:$AK$4,0))</f>
        <v>#N/A</v>
      </c>
      <c r="S274" s="68">
        <f>INDEX(RankPoints!$B$4:$AK$19,$B274+1,MATCH(Results!$J274,RankPoints!$B$4:$AK$4,0))</f>
        <v>-1516</v>
      </c>
      <c r="T274" s="68">
        <f t="shared" si="51"/>
        <v>0</v>
      </c>
      <c r="U274" s="155">
        <f t="shared" si="52"/>
        <v>1</v>
      </c>
      <c r="V274" s="156" t="e">
        <f>1/(1+(10^($X274/'[1]Teams'!$F$3)))</f>
        <v>#N/A</v>
      </c>
      <c r="W274" s="157" t="e">
        <f>1/(1+(10^($Y274/'[1]Teams'!$F$3)))</f>
        <v>#N/A</v>
      </c>
      <c r="X274" s="68" t="e">
        <f t="shared" si="53"/>
        <v>#N/A</v>
      </c>
      <c r="Y274" s="155" t="e">
        <f t="shared" si="54"/>
        <v>#N/A</v>
      </c>
      <c r="Z274" s="68" t="e">
        <f>ROUND($R274+(Teams!$H$2*($T274-$V274)),0)</f>
        <v>#N/A</v>
      </c>
      <c r="AA274" s="158" t="e">
        <f>ROUND($S274+(Teams!$H$2*($U274-$W274)),0)</f>
        <v>#N/A</v>
      </c>
    </row>
    <row r="275" spans="2:27" ht="12.75">
      <c r="B275" s="158">
        <v>14</v>
      </c>
      <c r="C275" s="173" t="s">
        <v>269</v>
      </c>
      <c r="D275" s="262">
        <v>27</v>
      </c>
      <c r="E275" s="263">
        <v>6</v>
      </c>
      <c r="F275" s="177" t="s">
        <v>112</v>
      </c>
      <c r="G275" s="179" t="str">
        <f>INDEX(Teams!$B$5:$H$45,MATCH(Results!$C275,Teams!$B$5:$B$45,0),3)</f>
        <v>St John's Castle</v>
      </c>
      <c r="H275" s="179" t="str">
        <f>INDEX(Teams!$B$5:$H$45,MATCH(Results!$C275,Teams!$B$5:$B$45,0),5)</f>
        <v>Sequoia</v>
      </c>
      <c r="I275" s="152" t="str">
        <f>INDEX(Teams!$B$5:$H$45,MATCH(Results!$C275,Teams!$B$5:$B$45,0),6)</f>
        <v>STJN</v>
      </c>
      <c r="J275" s="152" t="str">
        <f>INDEX(Teams!$B$5:$H$45,MATCH(Results!$F275,Teams!$B$5:$B$45,0),6)</f>
        <v>FHST</v>
      </c>
      <c r="K275" s="69" t="str">
        <f t="shared" si="44"/>
        <v>STJNFHST</v>
      </c>
      <c r="L275" s="68" t="str">
        <f t="shared" si="45"/>
        <v>STJN</v>
      </c>
      <c r="M275" s="68">
        <f t="shared" si="46"/>
        <v>1</v>
      </c>
      <c r="N275" s="68">
        <f t="shared" si="47"/>
        <v>21</v>
      </c>
      <c r="O275" s="68" t="str">
        <f t="shared" si="48"/>
        <v>Home</v>
      </c>
      <c r="P275" s="68" t="str">
        <f t="shared" si="49"/>
        <v>STJN14</v>
      </c>
      <c r="Q275" s="68" t="str">
        <f t="shared" si="50"/>
        <v>FHST14</v>
      </c>
      <c r="R275" s="68">
        <f>INDEX(RankPoints!$B$4:$AK$19,$B275+1,MATCH(Results!$I275,RankPoints!$B$4:$AK$4,0))</f>
        <v>3212</v>
      </c>
      <c r="S275" s="68">
        <f>INDEX(RankPoints!$B$4:$AK$19,$B275+1,MATCH(Results!$J275,RankPoints!$B$4:$AK$4,0))</f>
        <v>-104</v>
      </c>
      <c r="T275" s="68">
        <f t="shared" si="51"/>
        <v>1</v>
      </c>
      <c r="U275" s="155">
        <f t="shared" si="52"/>
        <v>0</v>
      </c>
      <c r="V275" s="156">
        <f>1/(1+(10^($X275/'[1]Teams'!$F$3)))</f>
        <v>5.128613813610974E-09</v>
      </c>
      <c r="W275" s="157">
        <f>1/(1+(10^($Y275/'[1]Teams'!$F$3)))</f>
        <v>0.9999999948713862</v>
      </c>
      <c r="X275" s="68">
        <f t="shared" si="53"/>
        <v>3316</v>
      </c>
      <c r="Y275" s="155">
        <f t="shared" si="54"/>
        <v>-3316</v>
      </c>
      <c r="Z275" s="68">
        <f>ROUND($R275+(Teams!$H$2*($T275-$V275)),0)</f>
        <v>3244</v>
      </c>
      <c r="AA275" s="158">
        <f>ROUND($S275+(Teams!$H$2*($U275-$W275)),0)</f>
        <v>-136</v>
      </c>
    </row>
    <row r="276" spans="2:27" ht="12.75">
      <c r="B276" s="158">
        <v>14</v>
      </c>
      <c r="C276" s="173" t="s">
        <v>19</v>
      </c>
      <c r="D276" s="262">
        <v>39</v>
      </c>
      <c r="E276" s="263">
        <v>10</v>
      </c>
      <c r="F276" s="177" t="s">
        <v>119</v>
      </c>
      <c r="G276" s="179" t="str">
        <f>INDEX(Teams!$B$5:$H$45,MATCH(Results!$C276,Teams!$B$5:$B$45,0),3)</f>
        <v>Tiegemburg Park</v>
      </c>
      <c r="H276" s="179" t="str">
        <f>INDEX(Teams!$B$5:$H$45,MATCH(Results!$C276,Teams!$B$5:$B$45,0),5)</f>
        <v>Sequoia</v>
      </c>
      <c r="I276" s="152" t="str">
        <f>INDEX(Teams!$B$5:$H$45,MATCH(Results!$C276,Teams!$B$5:$B$45,0),6)</f>
        <v>ALZD</v>
      </c>
      <c r="J276" s="152" t="str">
        <f>INDEX(Teams!$B$5:$H$45,MATCH(Results!$F276,Teams!$B$5:$B$45,0),6)</f>
        <v>NETT</v>
      </c>
      <c r="K276" s="69" t="str">
        <f t="shared" si="44"/>
        <v>ALZDNETT</v>
      </c>
      <c r="L276" s="68" t="str">
        <f t="shared" si="45"/>
        <v>ALZD</v>
      </c>
      <c r="M276" s="68">
        <f t="shared" si="46"/>
        <v>1</v>
      </c>
      <c r="N276" s="68">
        <f t="shared" si="47"/>
        <v>29</v>
      </c>
      <c r="O276" s="68" t="str">
        <f t="shared" si="48"/>
        <v>Home</v>
      </c>
      <c r="P276" s="68" t="str">
        <f t="shared" si="49"/>
        <v>ALZD14</v>
      </c>
      <c r="Q276" s="68" t="str">
        <f t="shared" si="50"/>
        <v>NETT14</v>
      </c>
      <c r="R276" s="68">
        <f>INDEX(RankPoints!$B$4:$AK$19,$B276+1,MATCH(Results!$I276,RankPoints!$B$4:$AK$4,0))</f>
        <v>1583</v>
      </c>
      <c r="S276" s="68" t="e">
        <f>INDEX(RankPoints!$B$4:$AK$19,$B276+1,MATCH(Results!$J276,RankPoints!$B$4:$AK$4,0))</f>
        <v>#N/A</v>
      </c>
      <c r="T276" s="68">
        <f t="shared" si="51"/>
        <v>1</v>
      </c>
      <c r="U276" s="155">
        <f t="shared" si="52"/>
        <v>0</v>
      </c>
      <c r="V276" s="156" t="e">
        <f>1/(1+(10^($X276/'[1]Teams'!$F$3)))</f>
        <v>#N/A</v>
      </c>
      <c r="W276" s="157" t="e">
        <f>1/(1+(10^($Y276/'[1]Teams'!$F$3)))</f>
        <v>#N/A</v>
      </c>
      <c r="X276" s="68" t="e">
        <f t="shared" si="53"/>
        <v>#N/A</v>
      </c>
      <c r="Y276" s="155" t="e">
        <f t="shared" si="54"/>
        <v>#N/A</v>
      </c>
      <c r="Z276" s="68" t="e">
        <f>ROUND($R276+(Teams!$H$2*($T276-$V276)),0)</f>
        <v>#N/A</v>
      </c>
      <c r="AA276" s="158" t="e">
        <f>ROUND($S276+(Teams!$H$2*($U276-$W276)),0)</f>
        <v>#N/A</v>
      </c>
    </row>
    <row r="277" spans="2:27" ht="12.75">
      <c r="B277" s="158">
        <v>14</v>
      </c>
      <c r="C277" s="173" t="s">
        <v>117</v>
      </c>
      <c r="D277" s="262">
        <v>40</v>
      </c>
      <c r="E277" s="263">
        <v>14</v>
      </c>
      <c r="F277" s="177" t="s">
        <v>111</v>
      </c>
      <c r="G277" s="179" t="str">
        <f>INDEX(Teams!$B$5:$H$45,MATCH(Results!$C277,Teams!$B$5:$B$45,0),3)</f>
        <v>Rimben Park</v>
      </c>
      <c r="H277" s="179" t="str">
        <f>INDEX(Teams!$B$5:$H$45,MATCH(Results!$C277,Teams!$B$5:$B$45,0),5)</f>
        <v>Sequoia</v>
      </c>
      <c r="I277" s="152" t="str">
        <f>INDEX(Teams!$B$5:$H$45,MATCH(Results!$C277,Teams!$B$5:$B$45,0),6)</f>
        <v>ALUT</v>
      </c>
      <c r="J277" s="152" t="str">
        <f>INDEX(Teams!$B$5:$H$45,MATCH(Results!$F277,Teams!$B$5:$B$45,0),6)</f>
        <v>NRDN</v>
      </c>
      <c r="K277" s="69" t="str">
        <f t="shared" si="44"/>
        <v>ALUTNRDN</v>
      </c>
      <c r="L277" s="68" t="str">
        <f t="shared" si="45"/>
        <v>ALUT</v>
      </c>
      <c r="M277" s="68">
        <f t="shared" si="46"/>
        <v>1</v>
      </c>
      <c r="N277" s="68">
        <f t="shared" si="47"/>
        <v>26</v>
      </c>
      <c r="O277" s="68" t="str">
        <f t="shared" si="48"/>
        <v>Home</v>
      </c>
      <c r="P277" s="68" t="str">
        <f t="shared" si="49"/>
        <v>ALUT14</v>
      </c>
      <c r="Q277" s="68" t="str">
        <f t="shared" si="50"/>
        <v>NRDN14</v>
      </c>
      <c r="R277" s="68" t="e">
        <f>INDEX(RankPoints!$B$4:$AK$19,$B277+1,MATCH(Results!$I277,RankPoints!$B$4:$AK$4,0))</f>
        <v>#N/A</v>
      </c>
      <c r="S277" s="68">
        <f>INDEX(RankPoints!$B$4:$AK$19,$B277+1,MATCH(Results!$J277,RankPoints!$B$4:$AK$4,0))</f>
        <v>-6305</v>
      </c>
      <c r="T277" s="68">
        <f t="shared" si="51"/>
        <v>1</v>
      </c>
      <c r="U277" s="155">
        <f t="shared" si="52"/>
        <v>0</v>
      </c>
      <c r="V277" s="156" t="e">
        <f>1/(1+(10^($X277/'[1]Teams'!$F$3)))</f>
        <v>#N/A</v>
      </c>
      <c r="W277" s="157" t="e">
        <f>1/(1+(10^($Y277/'[1]Teams'!$F$3)))</f>
        <v>#N/A</v>
      </c>
      <c r="X277" s="68" t="e">
        <f t="shared" si="53"/>
        <v>#N/A</v>
      </c>
      <c r="Y277" s="155" t="e">
        <f t="shared" si="54"/>
        <v>#N/A</v>
      </c>
      <c r="Z277" s="68" t="e">
        <f>ROUND($R277+(Teams!$H$2*($T277-$V277)),0)</f>
        <v>#N/A</v>
      </c>
      <c r="AA277" s="158" t="e">
        <f>ROUND($S277+(Teams!$H$2*($U277-$W277)),0)</f>
        <v>#N/A</v>
      </c>
    </row>
    <row r="278" spans="2:27" ht="12.75">
      <c r="B278" s="158">
        <v>14</v>
      </c>
      <c r="C278" s="173" t="s">
        <v>265</v>
      </c>
      <c r="D278" s="262">
        <v>10</v>
      </c>
      <c r="E278" s="263">
        <v>32</v>
      </c>
      <c r="F278" s="177" t="s">
        <v>79</v>
      </c>
      <c r="G278" s="179" t="str">
        <f>INDEX(Teams!$B$5:$H$45,MATCH(Results!$C278,Teams!$B$5:$B$45,0),3)</f>
        <v>Extraterrestrial Dome of Sport</v>
      </c>
      <c r="H278" s="179" t="str">
        <f>INDEX(Teams!$B$5:$H$45,MATCH(Results!$C278,Teams!$B$5:$B$45,0),5)</f>
        <v>Sequoia</v>
      </c>
      <c r="I278" s="152" t="str">
        <f>INDEX(Teams!$B$5:$H$45,MATCH(Results!$C278,Teams!$B$5:$B$45,0),6)</f>
        <v>ACSP</v>
      </c>
      <c r="J278" s="152" t="str">
        <f>INDEX(Teams!$B$5:$H$45,MATCH(Results!$F278,Teams!$B$5:$B$45,0),6)</f>
        <v>RVMD</v>
      </c>
      <c r="K278" s="69" t="str">
        <f t="shared" si="44"/>
        <v>ACSPRVMD</v>
      </c>
      <c r="L278" s="68" t="str">
        <f t="shared" si="45"/>
        <v>RVMD</v>
      </c>
      <c r="M278" s="68">
        <f t="shared" si="46"/>
        <v>1</v>
      </c>
      <c r="N278" s="68">
        <f t="shared" si="47"/>
        <v>22</v>
      </c>
      <c r="O278" s="68" t="str">
        <f t="shared" si="48"/>
        <v>Away</v>
      </c>
      <c r="P278" s="68" t="str">
        <f t="shared" si="49"/>
        <v>ACSP14</v>
      </c>
      <c r="Q278" s="68" t="str">
        <f t="shared" si="50"/>
        <v>RVMD14</v>
      </c>
      <c r="R278" s="68" t="e">
        <f>INDEX(RankPoints!$B$4:$AK$19,$B278+1,MATCH(Results!$I278,RankPoints!$B$4:$AK$4,0))</f>
        <v>#N/A</v>
      </c>
      <c r="S278" s="68">
        <f>INDEX(RankPoints!$B$4:$AK$19,$B278+1,MATCH(Results!$J278,RankPoints!$B$4:$AK$4,0))</f>
        <v>-2972</v>
      </c>
      <c r="T278" s="68">
        <f t="shared" si="51"/>
        <v>0</v>
      </c>
      <c r="U278" s="155">
        <f t="shared" si="52"/>
        <v>1</v>
      </c>
      <c r="V278" s="156" t="e">
        <f>1/(1+(10^($X278/'[1]Teams'!$F$3)))</f>
        <v>#N/A</v>
      </c>
      <c r="W278" s="157" t="e">
        <f>1/(1+(10^($Y278/'[1]Teams'!$F$3)))</f>
        <v>#N/A</v>
      </c>
      <c r="X278" s="68" t="e">
        <f t="shared" si="53"/>
        <v>#N/A</v>
      </c>
      <c r="Y278" s="155" t="e">
        <f t="shared" si="54"/>
        <v>#N/A</v>
      </c>
      <c r="Z278" s="68" t="e">
        <f>ROUND($R278+(Teams!$H$2*($T278-$V278)),0)</f>
        <v>#N/A</v>
      </c>
      <c r="AA278" s="158" t="e">
        <f>ROUND($S278+(Teams!$H$2*($U278-$W278)),0)</f>
        <v>#N/A</v>
      </c>
    </row>
    <row r="279" spans="2:27" ht="12.75">
      <c r="B279" s="158">
        <v>14</v>
      </c>
      <c r="C279" s="173" t="s">
        <v>152</v>
      </c>
      <c r="D279" s="262">
        <v>7</v>
      </c>
      <c r="E279" s="263">
        <v>19</v>
      </c>
      <c r="F279" s="177" t="s">
        <v>158</v>
      </c>
      <c r="G279" s="179" t="str">
        <f>INDEX(Teams!$B$5:$H$45,MATCH(Results!$C279,Teams!$B$5:$B$45,0),3)</f>
        <v>Trent Community Park</v>
      </c>
      <c r="H279" s="179" t="str">
        <f>INDEX(Teams!$B$5:$H$45,MATCH(Results!$C279,Teams!$B$5:$B$45,0),5)</f>
        <v>Woodlands</v>
      </c>
      <c r="I279" s="152" t="str">
        <f>INDEX(Teams!$B$5:$H$45,MATCH(Results!$C279,Teams!$B$5:$B$45,0),6)</f>
        <v>WALT</v>
      </c>
      <c r="J279" s="152" t="str">
        <f>INDEX(Teams!$B$5:$H$45,MATCH(Results!$F279,Teams!$B$5:$B$45,0),6)</f>
        <v>TOUF</v>
      </c>
      <c r="K279" s="69" t="str">
        <f t="shared" si="44"/>
        <v>WALTTOUF</v>
      </c>
      <c r="L279" s="68" t="str">
        <f t="shared" si="45"/>
        <v>TOUF</v>
      </c>
      <c r="M279" s="68">
        <f t="shared" si="46"/>
        <v>1</v>
      </c>
      <c r="N279" s="68">
        <f t="shared" si="47"/>
        <v>12</v>
      </c>
      <c r="O279" s="68" t="str">
        <f t="shared" si="48"/>
        <v>Away</v>
      </c>
      <c r="P279" s="68" t="str">
        <f t="shared" si="49"/>
        <v>WALT14</v>
      </c>
      <c r="Q279" s="68" t="str">
        <f t="shared" si="50"/>
        <v>TOUF14</v>
      </c>
      <c r="R279" s="68" t="e">
        <f>INDEX(RankPoints!$B$4:$AK$19,$B279+1,MATCH(Results!$I279,RankPoints!$B$4:$AK$4,0))</f>
        <v>#N/A</v>
      </c>
      <c r="S279" s="68" t="e">
        <f>INDEX(RankPoints!$B$4:$AK$19,$B279+1,MATCH(Results!$J279,RankPoints!$B$4:$AK$4,0))</f>
        <v>#N/A</v>
      </c>
      <c r="T279" s="68">
        <f t="shared" si="51"/>
        <v>0</v>
      </c>
      <c r="U279" s="155">
        <f t="shared" si="52"/>
        <v>1</v>
      </c>
      <c r="V279" s="156" t="e">
        <f>1/(1+(10^($X279/'[1]Teams'!$F$3)))</f>
        <v>#N/A</v>
      </c>
      <c r="W279" s="157" t="e">
        <f>1/(1+(10^($Y279/'[1]Teams'!$F$3)))</f>
        <v>#N/A</v>
      </c>
      <c r="X279" s="68" t="e">
        <f t="shared" si="53"/>
        <v>#N/A</v>
      </c>
      <c r="Y279" s="155" t="e">
        <f t="shared" si="54"/>
        <v>#N/A</v>
      </c>
      <c r="Z279" s="68" t="e">
        <f>ROUND($R279+(Teams!$H$2*($T279-$V279)),0)</f>
        <v>#N/A</v>
      </c>
      <c r="AA279" s="158" t="e">
        <f>ROUND($S279+(Teams!$H$2*($U279-$W279)),0)</f>
        <v>#N/A</v>
      </c>
    </row>
    <row r="280" spans="2:27" ht="12.75">
      <c r="B280" s="158">
        <v>14</v>
      </c>
      <c r="C280" s="173" t="s">
        <v>255</v>
      </c>
      <c r="D280" s="262">
        <v>7</v>
      </c>
      <c r="E280" s="263">
        <v>24</v>
      </c>
      <c r="F280" s="177" t="s">
        <v>109</v>
      </c>
      <c r="G280" s="179" t="str">
        <f>INDEX(Teams!$B$5:$H$45,MATCH(Results!$C280,Teams!$B$5:$B$45,0),3)</f>
        <v>The Hawks Nest</v>
      </c>
      <c r="H280" s="179" t="str">
        <f>INDEX(Teams!$B$5:$H$45,MATCH(Results!$C280,Teams!$B$5:$B$45,0),5)</f>
        <v>Woodlands</v>
      </c>
      <c r="I280" s="152" t="str">
        <f>INDEX(Teams!$B$5:$H$45,MATCH(Results!$C280,Teams!$B$5:$B$45,0),6)</f>
        <v>HUDS</v>
      </c>
      <c r="J280" s="152" t="str">
        <f>INDEX(Teams!$B$5:$H$45,MATCH(Results!$F280,Teams!$B$5:$B$45,0),6)</f>
        <v>ARKN</v>
      </c>
      <c r="K280" s="69" t="str">
        <f t="shared" si="44"/>
        <v>HUDSARKN</v>
      </c>
      <c r="L280" s="68" t="str">
        <f t="shared" si="45"/>
        <v>ARKN</v>
      </c>
      <c r="M280" s="68">
        <f t="shared" si="46"/>
        <v>1</v>
      </c>
      <c r="N280" s="68">
        <f t="shared" si="47"/>
        <v>17</v>
      </c>
      <c r="O280" s="68" t="str">
        <f t="shared" si="48"/>
        <v>Away</v>
      </c>
      <c r="P280" s="68" t="str">
        <f t="shared" si="49"/>
        <v>HUDS14</v>
      </c>
      <c r="Q280" s="68" t="str">
        <f t="shared" si="50"/>
        <v>ARKN14</v>
      </c>
      <c r="R280" s="68" t="e">
        <f>INDEX(RankPoints!$B$4:$AK$19,$B280+1,MATCH(Results!$I280,RankPoints!$B$4:$AK$4,0))</f>
        <v>#N/A</v>
      </c>
      <c r="S280" s="68">
        <f>INDEX(RankPoints!$B$4:$AK$19,$B280+1,MATCH(Results!$J280,RankPoints!$B$4:$AK$4,0))</f>
        <v>448</v>
      </c>
      <c r="T280" s="68">
        <f t="shared" si="51"/>
        <v>0</v>
      </c>
      <c r="U280" s="155">
        <f t="shared" si="52"/>
        <v>1</v>
      </c>
      <c r="V280" s="156" t="e">
        <f>1/(1+(10^($X280/'[1]Teams'!$F$3)))</f>
        <v>#N/A</v>
      </c>
      <c r="W280" s="157" t="e">
        <f>1/(1+(10^($Y280/'[1]Teams'!$F$3)))</f>
        <v>#N/A</v>
      </c>
      <c r="X280" s="68" t="e">
        <f t="shared" si="53"/>
        <v>#N/A</v>
      </c>
      <c r="Y280" s="155" t="e">
        <f t="shared" si="54"/>
        <v>#N/A</v>
      </c>
      <c r="Z280" s="68" t="e">
        <f>ROUND($R280+(Teams!$H$2*($T280-$V280)),0)</f>
        <v>#N/A</v>
      </c>
      <c r="AA280" s="158" t="e">
        <f>ROUND($S280+(Teams!$H$2*($U280-$W280)),0)</f>
        <v>#N/A</v>
      </c>
    </row>
    <row r="281" spans="2:27" ht="12.75">
      <c r="B281" s="158">
        <v>14</v>
      </c>
      <c r="C281" s="173" t="s">
        <v>78</v>
      </c>
      <c r="D281" s="262">
        <v>30</v>
      </c>
      <c r="E281" s="263">
        <v>7</v>
      </c>
      <c r="F281" s="177" t="s">
        <v>125</v>
      </c>
      <c r="G281" s="179" t="str">
        <f>INDEX(Teams!$B$5:$H$45,MATCH(Results!$C281,Teams!$B$5:$B$45,0),3)</f>
        <v>Red Plains Stadium</v>
      </c>
      <c r="H281" s="179" t="str">
        <f>INDEX(Teams!$B$5:$H$45,MATCH(Results!$C281,Teams!$B$5:$B$45,0),5)</f>
        <v>Woodlands</v>
      </c>
      <c r="I281" s="152" t="str">
        <f>INDEX(Teams!$B$5:$H$45,MATCH(Results!$C281,Teams!$B$5:$B$45,0),6)</f>
        <v>FRBB</v>
      </c>
      <c r="J281" s="152" t="str">
        <f>INDEX(Teams!$B$5:$H$45,MATCH(Results!$F281,Teams!$B$5:$B$45,0),6)</f>
        <v>JGZA</v>
      </c>
      <c r="K281" s="69" t="str">
        <f t="shared" si="44"/>
        <v>FRBBJGZA</v>
      </c>
      <c r="L281" s="68" t="str">
        <f t="shared" si="45"/>
        <v>FRBB</v>
      </c>
      <c r="M281" s="68">
        <f t="shared" si="46"/>
        <v>1</v>
      </c>
      <c r="N281" s="68">
        <f t="shared" si="47"/>
        <v>23</v>
      </c>
      <c r="O281" s="68" t="str">
        <f t="shared" si="48"/>
        <v>Home</v>
      </c>
      <c r="P281" s="68" t="str">
        <f t="shared" si="49"/>
        <v>FRBB14</v>
      </c>
      <c r="Q281" s="68" t="str">
        <f t="shared" si="50"/>
        <v>JGZA14</v>
      </c>
      <c r="R281" s="68">
        <f>INDEX(RankPoints!$B$4:$AK$19,$B281+1,MATCH(Results!$I281,RankPoints!$B$4:$AK$4,0))</f>
        <v>326</v>
      </c>
      <c r="S281" s="68" t="e">
        <f>INDEX(RankPoints!$B$4:$AK$19,$B281+1,MATCH(Results!$J281,RankPoints!$B$4:$AK$4,0))</f>
        <v>#N/A</v>
      </c>
      <c r="T281" s="68">
        <f t="shared" si="51"/>
        <v>1</v>
      </c>
      <c r="U281" s="155">
        <f t="shared" si="52"/>
        <v>0</v>
      </c>
      <c r="V281" s="156" t="e">
        <f>1/(1+(10^($X281/'[1]Teams'!$F$3)))</f>
        <v>#N/A</v>
      </c>
      <c r="W281" s="157" t="e">
        <f>1/(1+(10^($Y281/'[1]Teams'!$F$3)))</f>
        <v>#N/A</v>
      </c>
      <c r="X281" s="68" t="e">
        <f t="shared" si="53"/>
        <v>#N/A</v>
      </c>
      <c r="Y281" s="155" t="e">
        <f t="shared" si="54"/>
        <v>#N/A</v>
      </c>
      <c r="Z281" s="68" t="e">
        <f>ROUND($R281+(Teams!$H$2*($T281-$V281)),0)</f>
        <v>#N/A</v>
      </c>
      <c r="AA281" s="158" t="e">
        <f>ROUND($S281+(Teams!$H$2*($U281-$W281)),0)</f>
        <v>#N/A</v>
      </c>
    </row>
    <row r="282" spans="2:27" ht="13.5" thickBot="1">
      <c r="B282" s="219">
        <v>14</v>
      </c>
      <c r="C282" s="174" t="s">
        <v>127</v>
      </c>
      <c r="D282" s="264">
        <v>21</v>
      </c>
      <c r="E282" s="265">
        <v>10</v>
      </c>
      <c r="F282" s="178" t="s">
        <v>110</v>
      </c>
      <c r="G282" s="180" t="str">
        <f>INDEX(Teams!$B$5:$H$45,MATCH(Results!$C282,Teams!$B$5:$B$45,0),3)</f>
        <v>Glenn Memorial Stadium</v>
      </c>
      <c r="H282" s="180" t="str">
        <f>INDEX(Teams!$B$5:$H$45,MATCH(Results!$C282,Teams!$B$5:$B$45,0),5)</f>
        <v>Woodlands</v>
      </c>
      <c r="I282" s="152" t="str">
        <f>INDEX(Teams!$B$5:$H$45,MATCH(Results!$C282,Teams!$B$5:$B$45,0),6)</f>
        <v>BUCK</v>
      </c>
      <c r="J282" s="152" t="str">
        <f>INDEX(Teams!$B$5:$H$45,MATCH(Results!$F282,Teams!$B$5:$B$45,0),6)</f>
        <v>UTCA</v>
      </c>
      <c r="K282" s="69" t="str">
        <f t="shared" si="44"/>
        <v>BUCKUTCA</v>
      </c>
      <c r="L282" s="68" t="str">
        <f t="shared" si="45"/>
        <v>BUCK</v>
      </c>
      <c r="M282" s="68">
        <f t="shared" si="46"/>
        <v>1</v>
      </c>
      <c r="N282" s="68">
        <f t="shared" si="47"/>
        <v>11</v>
      </c>
      <c r="O282" s="68" t="str">
        <f t="shared" si="48"/>
        <v>Home</v>
      </c>
      <c r="P282" s="68" t="str">
        <f t="shared" si="49"/>
        <v>BUCK14</v>
      </c>
      <c r="Q282" s="68" t="str">
        <f t="shared" si="50"/>
        <v>UTCA14</v>
      </c>
      <c r="R282" s="68" t="e">
        <f>INDEX(RankPoints!$B$4:$AK$19,$B282+1,MATCH(Results!$I282,RankPoints!$B$4:$AK$4,0))</f>
        <v>#N/A</v>
      </c>
      <c r="S282" s="68">
        <f>INDEX(RankPoints!$B$4:$AK$19,$B282+1,MATCH(Results!$J282,RankPoints!$B$4:$AK$4,0))</f>
        <v>353</v>
      </c>
      <c r="T282" s="68">
        <f t="shared" si="51"/>
        <v>1</v>
      </c>
      <c r="U282" s="155">
        <f t="shared" si="52"/>
        <v>0</v>
      </c>
      <c r="V282" s="156" t="e">
        <f>1/(1+(10^($X282/'[1]Teams'!$F$3)))</f>
        <v>#N/A</v>
      </c>
      <c r="W282" s="157" t="e">
        <f>1/(1+(10^($Y282/'[1]Teams'!$F$3)))</f>
        <v>#N/A</v>
      </c>
      <c r="X282" s="68" t="e">
        <f t="shared" si="53"/>
        <v>#N/A</v>
      </c>
      <c r="Y282" s="155" t="e">
        <f t="shared" si="54"/>
        <v>#N/A</v>
      </c>
      <c r="Z282" s="68" t="e">
        <f>ROUND($R282+(Teams!$H$2*($T282-$V282)),0)</f>
        <v>#N/A</v>
      </c>
      <c r="AA282" s="158" t="e">
        <f>ROUND($S282+(Teams!$H$2*($U282-$W282)),0)</f>
        <v>#N/A</v>
      </c>
    </row>
    <row r="283" spans="2:8" ht="12.75">
      <c r="B283" s="184">
        <v>15</v>
      </c>
      <c r="C283" s="224" t="s">
        <v>266</v>
      </c>
      <c r="D283" s="225">
        <v>23</v>
      </c>
      <c r="E283" s="226">
        <v>14</v>
      </c>
      <c r="F283" s="227" t="s">
        <v>124</v>
      </c>
      <c r="G283" s="183" t="str">
        <f>IF(ISNA(INDEX(Teams!$B$5:$H$45,MATCH(Results!$C283,Teams!$B$5:$B$45,0),3)),"",INDEX(Teams!$B$5:$H$45,MATCH(Results!$C283,Teams!$B$5:$B$45,0),3))</f>
        <v>ATD Park</v>
      </c>
      <c r="H283" s="187" t="s">
        <v>272</v>
      </c>
    </row>
    <row r="284" spans="2:8" ht="12.75">
      <c r="B284" s="185">
        <v>15</v>
      </c>
      <c r="C284" s="228" t="s">
        <v>78</v>
      </c>
      <c r="D284" s="229">
        <v>3</v>
      </c>
      <c r="E284" s="230">
        <v>7</v>
      </c>
      <c r="F284" s="231" t="s">
        <v>269</v>
      </c>
      <c r="G284" s="181" t="str">
        <f>IF(ISNA(INDEX(Teams!$B$5:$H$45,MATCH(Results!$C284,Teams!$B$5:$B$45,0),3)),"",INDEX(Teams!$B$5:$H$45,MATCH(Results!$C284,Teams!$B$5:$B$45,0),3))</f>
        <v>Red Plains Stadium</v>
      </c>
      <c r="H284" s="188" t="s">
        <v>272</v>
      </c>
    </row>
    <row r="285" spans="2:8" ht="12.75">
      <c r="B285" s="185">
        <v>15</v>
      </c>
      <c r="C285" s="228" t="s">
        <v>19</v>
      </c>
      <c r="D285" s="229">
        <v>20</v>
      </c>
      <c r="E285" s="230">
        <v>31</v>
      </c>
      <c r="F285" s="231" t="s">
        <v>109</v>
      </c>
      <c r="G285" s="181" t="str">
        <f>IF(ISNA(INDEX(Teams!$B$5:$H$45,MATCH(Results!$C285,Teams!$B$5:$B$45,0),3)),"",INDEX(Teams!$B$5:$H$45,MATCH(Results!$C285,Teams!$B$5:$B$45,0),3))</f>
        <v>Tiegemburg Park</v>
      </c>
      <c r="H285" s="188" t="s">
        <v>272</v>
      </c>
    </row>
    <row r="286" spans="2:8" ht="12.75">
      <c r="B286" s="185">
        <v>15</v>
      </c>
      <c r="C286" s="228" t="s">
        <v>79</v>
      </c>
      <c r="D286" s="229">
        <v>21</v>
      </c>
      <c r="E286" s="230">
        <v>3</v>
      </c>
      <c r="F286" s="231" t="s">
        <v>77</v>
      </c>
      <c r="G286" s="181" t="str">
        <f>IF(ISNA(INDEX(Teams!$B$5:$H$45,MATCH(Results!$C286,Teams!$B$5:$B$45,0),3)),"",INDEX(Teams!$B$5:$H$45,MATCH(Results!$C286,Teams!$B$5:$B$45,0),3))</f>
        <v>Anatidae Field</v>
      </c>
      <c r="H286" s="188" t="s">
        <v>272</v>
      </c>
    </row>
    <row r="287" spans="2:8" ht="12.75">
      <c r="B287" s="185">
        <v>15</v>
      </c>
      <c r="C287" s="228" t="s">
        <v>20</v>
      </c>
      <c r="D287" s="229">
        <v>13</v>
      </c>
      <c r="E287" s="230">
        <v>6</v>
      </c>
      <c r="F287" s="231" t="s">
        <v>158</v>
      </c>
      <c r="G287" s="181" t="str">
        <f>IF(ISNA(INDEX(Teams!$B$5:$H$45,MATCH(Results!$C287,Teams!$B$5:$B$45,0),3)),"",INDEX(Teams!$B$5:$H$45,MATCH(Results!$C287,Teams!$B$5:$B$45,0),3))</f>
        <v>Capital Coliseum</v>
      </c>
      <c r="H287" s="188" t="s">
        <v>272</v>
      </c>
    </row>
    <row r="288" spans="2:8" ht="12.75">
      <c r="B288" s="185">
        <v>15</v>
      </c>
      <c r="C288" s="228" t="s">
        <v>80</v>
      </c>
      <c r="D288" s="229">
        <v>3</v>
      </c>
      <c r="E288" s="230">
        <v>6</v>
      </c>
      <c r="F288" s="231" t="s">
        <v>110</v>
      </c>
      <c r="G288" s="181" t="str">
        <f>IF(ISNA(INDEX(Teams!$B$5:$H$45,MATCH(Results!$C288,Teams!$B$5:$B$45,0),3)),"",INDEX(Teams!$B$5:$H$45,MATCH(Results!$C288,Teams!$B$5:$B$45,0),3))</f>
        <v>Orange Bowl</v>
      </c>
      <c r="H288" s="188" t="s">
        <v>272</v>
      </c>
    </row>
    <row r="289" spans="2:8" ht="12.75">
      <c r="B289" s="185">
        <v>15</v>
      </c>
      <c r="C289" s="228" t="s">
        <v>76</v>
      </c>
      <c r="D289" s="229">
        <v>3</v>
      </c>
      <c r="E289" s="230">
        <v>13</v>
      </c>
      <c r="F289" s="231" t="s">
        <v>270</v>
      </c>
      <c r="G289" s="181" t="str">
        <f>IF(ISNA(INDEX(Teams!$B$5:$H$45,MATCH(Results!$C289,Teams!$B$5:$B$45,0),3)),"",INDEX(Teams!$B$5:$H$45,MATCH(Results!$C289,Teams!$B$5:$B$45,0),3))</f>
        <v>Bronco Stadium</v>
      </c>
      <c r="H289" s="188" t="s">
        <v>272</v>
      </c>
    </row>
    <row r="290" spans="2:8" ht="13.5" thickBot="1">
      <c r="B290" s="197">
        <v>15</v>
      </c>
      <c r="C290" s="232" t="s">
        <v>248</v>
      </c>
      <c r="D290" s="233">
        <v>33</v>
      </c>
      <c r="E290" s="234">
        <v>0</v>
      </c>
      <c r="F290" s="235" t="s">
        <v>127</v>
      </c>
      <c r="G290" s="198" t="str">
        <f>IF(ISNA(INDEX(Teams!$B$5:$H$45,MATCH(Results!$C290,Teams!$B$5:$B$45,0),3)),"",INDEX(Teams!$B$5:$H$45,MATCH(Results!$C290,Teams!$B$5:$B$45,0),3))</f>
        <v>Dorrel Stadium</v>
      </c>
      <c r="H290" s="199" t="s">
        <v>272</v>
      </c>
    </row>
    <row r="291" spans="2:8" ht="12.75">
      <c r="B291" s="194">
        <v>16</v>
      </c>
      <c r="C291" s="236" t="s">
        <v>266</v>
      </c>
      <c r="D291" s="237">
        <v>3</v>
      </c>
      <c r="E291" s="238">
        <v>30</v>
      </c>
      <c r="F291" s="239" t="s">
        <v>269</v>
      </c>
      <c r="G291" s="206" t="str">
        <f>IF(ISNA(INDEX(Teams!$B$5:$H$45,MATCH(Results!$C291,Teams!$B$5:$B$45,0),3)),"",INDEX(Teams!$B$5:$H$45,MATCH(Results!$C291,Teams!$B$5:$B$45,0),3))</f>
        <v>ATD Park</v>
      </c>
      <c r="H291" s="195" t="s">
        <v>273</v>
      </c>
    </row>
    <row r="292" spans="2:8" ht="12.75">
      <c r="B292" s="186">
        <v>16</v>
      </c>
      <c r="C292" s="240" t="s">
        <v>79</v>
      </c>
      <c r="D292" s="241">
        <v>3</v>
      </c>
      <c r="E292" s="242">
        <v>13</v>
      </c>
      <c r="F292" s="243" t="s">
        <v>109</v>
      </c>
      <c r="G292" s="182" t="str">
        <f>IF(ISNA(INDEX(Teams!$B$5:$H$45,MATCH(Results!$C292,Teams!$B$5:$B$45,0),3)),"",INDEX(Teams!$B$5:$H$45,MATCH(Results!$C292,Teams!$B$5:$B$45,0),3))</f>
        <v>Anatidae Field</v>
      </c>
      <c r="H292" s="189" t="s">
        <v>273</v>
      </c>
    </row>
    <row r="293" spans="2:8" ht="12.75">
      <c r="B293" s="186">
        <v>16</v>
      </c>
      <c r="C293" s="240" t="s">
        <v>20</v>
      </c>
      <c r="D293" s="241">
        <v>23</v>
      </c>
      <c r="E293" s="242">
        <v>31</v>
      </c>
      <c r="F293" s="243" t="s">
        <v>110</v>
      </c>
      <c r="G293" s="182" t="str">
        <f>IF(ISNA(INDEX(Teams!$B$5:$H$45,MATCH(Results!$C293,Teams!$B$5:$B$45,0),3)),"",INDEX(Teams!$B$5:$H$45,MATCH(Results!$C293,Teams!$B$5:$B$45,0),3))</f>
        <v>Capital Coliseum</v>
      </c>
      <c r="H293" s="189" t="s">
        <v>273</v>
      </c>
    </row>
    <row r="294" spans="2:8" ht="13.5" thickBot="1">
      <c r="B294" s="200">
        <v>16</v>
      </c>
      <c r="C294" s="244" t="s">
        <v>248</v>
      </c>
      <c r="D294" s="245">
        <v>44</v>
      </c>
      <c r="E294" s="246">
        <v>13</v>
      </c>
      <c r="F294" s="247" t="s">
        <v>270</v>
      </c>
      <c r="G294" s="207" t="str">
        <f>IF(ISNA(INDEX(Teams!$B$5:$H$45,MATCH(Results!$C294,Teams!$B$5:$B$45,0),3)),"",INDEX(Teams!$B$5:$H$45,MATCH(Results!$C294,Teams!$B$5:$B$45,0),3))</f>
        <v>Dorrel Stadium</v>
      </c>
      <c r="H294" s="201" t="s">
        <v>273</v>
      </c>
    </row>
    <row r="295" spans="2:8" ht="12.75">
      <c r="B295" s="192">
        <v>17</v>
      </c>
      <c r="C295" s="248" t="s">
        <v>269</v>
      </c>
      <c r="D295" s="249">
        <v>24</v>
      </c>
      <c r="E295" s="250">
        <v>28</v>
      </c>
      <c r="F295" s="251" t="s">
        <v>109</v>
      </c>
      <c r="G295" s="204" t="str">
        <f>IF(ISNA(INDEX(Teams!$B$5:$H$45,MATCH(Results!$C295,Teams!$B$5:$B$45,0),3)),"",INDEX(Teams!$B$5:$H$45,MATCH(Results!$C295,Teams!$B$5:$B$45,0),3))</f>
        <v>St John's Castle</v>
      </c>
      <c r="H295" s="193" t="s">
        <v>274</v>
      </c>
    </row>
    <row r="296" spans="2:8" ht="13.5" thickBot="1">
      <c r="B296" s="202">
        <v>17</v>
      </c>
      <c r="C296" s="252" t="s">
        <v>248</v>
      </c>
      <c r="D296" s="253">
        <v>10</v>
      </c>
      <c r="E296" s="254">
        <v>14</v>
      </c>
      <c r="F296" s="255" t="s">
        <v>110</v>
      </c>
      <c r="G296" s="205" t="str">
        <f>IF(ISNA(INDEX(Teams!$B$5:$H$45,MATCH(Results!$C296,Teams!$B$5:$B$45,0),3)),"",INDEX(Teams!$B$5:$H$45,MATCH(Results!$C296,Teams!$B$5:$B$45,0),3))</f>
        <v>Dorrel Stadium</v>
      </c>
      <c r="H296" s="203" t="s">
        <v>274</v>
      </c>
    </row>
    <row r="297" spans="2:8" ht="13.5" thickBot="1">
      <c r="B297" s="190">
        <v>18</v>
      </c>
      <c r="C297" s="256" t="s">
        <v>109</v>
      </c>
      <c r="D297" s="257">
        <v>19</v>
      </c>
      <c r="E297" s="258">
        <v>16</v>
      </c>
      <c r="F297" s="259" t="s">
        <v>110</v>
      </c>
      <c r="G297" s="260" t="s">
        <v>290</v>
      </c>
      <c r="H297" s="191" t="s">
        <v>62</v>
      </c>
    </row>
  </sheetData>
  <sheetProtection selectLockedCells="1"/>
  <mergeCells count="1">
    <mergeCell ref="D2:E2"/>
  </mergeCells>
  <conditionalFormatting sqref="I3:J282 C3:C225">
    <cfRule type="expression" priority="1" dxfId="2" stopIfTrue="1">
      <formula>IF($D3&gt;$E3,1,0)=1</formula>
    </cfRule>
  </conditionalFormatting>
  <conditionalFormatting sqref="F3:F217">
    <cfRule type="expression" priority="2" dxfId="2" stopIfTrue="1">
      <formula>IF($E3&gt;$D3,1,0)=1</formula>
    </cfRule>
  </conditionalFormatting>
  <conditionalFormatting sqref="D3:E297">
    <cfRule type="cellIs" priority="3" dxfId="3" operator="equal" stopIfTrue="1">
      <formula>""</formula>
    </cfRule>
  </conditionalFormatting>
  <conditionalFormatting sqref="C226:C282">
    <cfRule type="expression" priority="4" dxfId="2" stopIfTrue="1">
      <formula>IF($D226&gt;$E226,1,0)=1</formula>
    </cfRule>
  </conditionalFormatting>
  <conditionalFormatting sqref="F218:F282">
    <cfRule type="expression" priority="5" dxfId="2" stopIfTrue="1">
      <formula>IF($E218&gt;$D218,1,0)=1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7"/>
  <sheetViews>
    <sheetView workbookViewId="0" topLeftCell="A1">
      <selection activeCell="G27" sqref="G27"/>
    </sheetView>
  </sheetViews>
  <sheetFormatPr defaultColWidth="9.140625" defaultRowHeight="12.75"/>
  <cols>
    <col min="1" max="1" width="9.140625" style="59" customWidth="1"/>
    <col min="2" max="2" width="4.28125" style="11" customWidth="1"/>
    <col min="3" max="3" width="34.28125" style="11" customWidth="1"/>
    <col min="4" max="5" width="7.140625" style="11" customWidth="1"/>
    <col min="6" max="20" width="9.140625" style="59" customWidth="1"/>
    <col min="21" max="16384" width="9.140625" style="11" customWidth="1"/>
  </cols>
  <sheetData>
    <row r="1" spans="2:5" ht="11.25">
      <c r="B1" s="59"/>
      <c r="C1" s="59"/>
      <c r="D1" s="59"/>
      <c r="E1" s="59"/>
    </row>
    <row r="2" spans="2:5" ht="11.25">
      <c r="B2" s="59"/>
      <c r="C2" s="59"/>
      <c r="D2" s="59"/>
      <c r="E2" s="59"/>
    </row>
    <row r="3" spans="2:5" ht="11.25">
      <c r="B3" s="59"/>
      <c r="C3" s="59"/>
      <c r="D3" s="59"/>
      <c r="E3" s="59"/>
    </row>
    <row r="4" spans="2:5" ht="12" thickBot="1">
      <c r="B4" s="59"/>
      <c r="C4" s="59"/>
      <c r="D4" s="59"/>
      <c r="E4" s="59"/>
    </row>
    <row r="5" spans="2:5" ht="11.25">
      <c r="B5" s="302">
        <v>1</v>
      </c>
      <c r="C5" s="305" t="str">
        <f>INDEX(Standings!$B$4:$W$43,MATCH(Seeding!$B5,Standings!$B$4:$B$43,0),2)</f>
        <v>University of Port Salem</v>
      </c>
      <c r="D5" s="297" t="str">
        <f>INDEX(Standings!$B$4:$W$43,MATCH(Seeding!$B5,Standings!$B$4:$B$43,0),6)&amp;"-"&amp;INDEX(Standings!$B$4:$W$43,MATCH(Seeding!$B5,Standings!$B$4:$B$43,0),7)</f>
        <v>14-0</v>
      </c>
      <c r="E5" s="297" t="str">
        <f>IF(INDEX(Standings!$B$4:$W$43,MATCH(Seeding!$B5,Standings!$B$4:$B$43,0),10)*1&gt;0,"+"&amp;INDEX(Standings!$B$4:$W$43,MATCH(Seeding!$B5,Standings!$B$4:$B$43,0),10),INDEX(Standings!$B$4:$W$43,MATCH(Seeding!$B5,Standings!$B$4:$B$43,0),10))</f>
        <v>+279</v>
      </c>
    </row>
    <row r="6" spans="2:5" ht="11.25">
      <c r="B6" s="303">
        <f>B5+1</f>
        <v>2</v>
      </c>
      <c r="C6" s="306" t="str">
        <f>INDEX(Standings!$B$4:$W$43,MATCH(Seeding!$B6,Standings!$B$4:$B$43,0),2)</f>
        <v>Colden University</v>
      </c>
      <c r="D6" s="299" t="str">
        <f>INDEX(Standings!$B$4:$W$43,MATCH(Seeding!$B6,Standings!$B$4:$B$43,0),6)&amp;"-"&amp;INDEX(Standings!$B$4:$W$43,MATCH(Seeding!$B6,Standings!$B$4:$B$43,0),7)</f>
        <v>13-1</v>
      </c>
      <c r="E6" s="299" t="str">
        <f>IF(INDEX(Standings!$B$4:$W$43,MATCH(Seeding!$B6,Standings!$B$4:$B$43,0),10)*1&gt;0,"+"&amp;INDEX(Standings!$B$4:$W$43,MATCH(Seeding!$B6,Standings!$B$4:$B$43,0),10),INDEX(Standings!$B$4:$W$43,MATCH(Seeding!$B6,Standings!$B$4:$B$43,0),10))</f>
        <v>+167</v>
      </c>
    </row>
    <row r="7" spans="2:5" ht="11.25">
      <c r="B7" s="303">
        <f aca="true" t="shared" si="0" ref="B7:B44">B6+1</f>
        <v>3</v>
      </c>
      <c r="C7" s="306" t="str">
        <f>INDEX(Standings!$B$4:$W$43,MATCH(Seeding!$B7,Standings!$B$4:$B$43,0),2)</f>
        <v>Ramusok Capital University</v>
      </c>
      <c r="D7" s="299" t="str">
        <f>INDEX(Standings!$B$4:$W$43,MATCH(Seeding!$B7,Standings!$B$4:$B$43,0),6)&amp;"-"&amp;INDEX(Standings!$B$4:$W$43,MATCH(Seeding!$B7,Standings!$B$4:$B$43,0),7)</f>
        <v>13-1</v>
      </c>
      <c r="E7" s="299" t="str">
        <f>IF(INDEX(Standings!$B$4:$W$43,MATCH(Seeding!$B7,Standings!$B$4:$B$43,0),10)*1&gt;0,"+"&amp;INDEX(Standings!$B$4:$W$43,MATCH(Seeding!$B7,Standings!$B$4:$B$43,0),10),INDEX(Standings!$B$4:$W$43,MATCH(Seeding!$B7,Standings!$B$4:$B$43,0),10))</f>
        <v>+224</v>
      </c>
    </row>
    <row r="8" spans="2:5" ht="11.25">
      <c r="B8" s="303">
        <f t="shared" si="0"/>
        <v>4</v>
      </c>
      <c r="C8" s="306" t="str">
        <f>INDEX(Standings!$B$4:$W$43,MATCH(Seeding!$B8,Standings!$B$4:$B$43,0),2)</f>
        <v>University of Alzburg-Dyka</v>
      </c>
      <c r="D8" s="299" t="str">
        <f>INDEX(Standings!$B$4:$W$43,MATCH(Seeding!$B8,Standings!$B$4:$B$43,0),6)&amp;"-"&amp;INDEX(Standings!$B$4:$W$43,MATCH(Seeding!$B8,Standings!$B$4:$B$43,0),7)</f>
        <v>12-2</v>
      </c>
      <c r="E8" s="299" t="str">
        <f>IF(INDEX(Standings!$B$4:$W$43,MATCH(Seeding!$B8,Standings!$B$4:$B$43,0),10)*1&gt;0,"+"&amp;INDEX(Standings!$B$4:$W$43,MATCH(Seeding!$B8,Standings!$B$4:$B$43,0),10),INDEX(Standings!$B$4:$W$43,MATCH(Seeding!$B8,Standings!$B$4:$B$43,0),10))</f>
        <v>+189</v>
      </c>
    </row>
    <row r="9" spans="2:5" ht="11.25">
      <c r="B9" s="303">
        <f t="shared" si="0"/>
        <v>5</v>
      </c>
      <c r="C9" s="306" t="str">
        <f>INDEX(Standings!$B$4:$W$43,MATCH(Seeding!$B9,Standings!$B$4:$B$43,0),2)</f>
        <v>Oklahoma City State University</v>
      </c>
      <c r="D9" s="299" t="str">
        <f>INDEX(Standings!$B$4:$W$43,MATCH(Seeding!$B9,Standings!$B$4:$B$43,0),6)&amp;"-"&amp;INDEX(Standings!$B$4:$W$43,MATCH(Seeding!$B9,Standings!$B$4:$B$43,0),7)</f>
        <v>12-2</v>
      </c>
      <c r="E9" s="299" t="str">
        <f>IF(INDEX(Standings!$B$4:$W$43,MATCH(Seeding!$B9,Standings!$B$4:$B$43,0),10)*1&gt;0,"+"&amp;INDEX(Standings!$B$4:$W$43,MATCH(Seeding!$B9,Standings!$B$4:$B$43,0),10),INDEX(Standings!$B$4:$W$43,MATCH(Seeding!$B9,Standings!$B$4:$B$43,0),10))</f>
        <v>+216</v>
      </c>
    </row>
    <row r="10" spans="2:5" ht="11.25">
      <c r="B10" s="303">
        <f t="shared" si="0"/>
        <v>6</v>
      </c>
      <c r="C10" s="306" t="str">
        <f>INDEX(Standings!$B$4:$W$43,MATCH(Seeding!$B10,Standings!$B$4:$B$43,0),2)</f>
        <v>Riversburg-Madison University</v>
      </c>
      <c r="D10" s="299" t="str">
        <f>INDEX(Standings!$B$4:$W$43,MATCH(Seeding!$B10,Standings!$B$4:$B$43,0),6)&amp;"-"&amp;INDEX(Standings!$B$4:$W$43,MATCH(Seeding!$B10,Standings!$B$4:$B$43,0),7)</f>
        <v>12-2</v>
      </c>
      <c r="E10" s="299" t="str">
        <f>IF(INDEX(Standings!$B$4:$W$43,MATCH(Seeding!$B10,Standings!$B$4:$B$43,0),10)*1&gt;0,"+"&amp;INDEX(Standings!$B$4:$W$43,MATCH(Seeding!$B10,Standings!$B$4:$B$43,0),10),INDEX(Standings!$B$4:$W$43,MATCH(Seeding!$B10,Standings!$B$4:$B$43,0),10))</f>
        <v>+175</v>
      </c>
    </row>
    <row r="11" spans="2:5" ht="11.25">
      <c r="B11" s="303">
        <f t="shared" si="0"/>
        <v>7</v>
      </c>
      <c r="C11" s="306" t="str">
        <f>INDEX(Standings!$B$4:$W$43,MATCH(Seeding!$B11,Standings!$B$4:$B$43,0),2)</f>
        <v>Scott City University</v>
      </c>
      <c r="D11" s="299" t="str">
        <f>INDEX(Standings!$B$4:$W$43,MATCH(Seeding!$B11,Standings!$B$4:$B$43,0),6)&amp;"-"&amp;INDEX(Standings!$B$4:$W$43,MATCH(Seeding!$B11,Standings!$B$4:$B$43,0),7)</f>
        <v>12-2</v>
      </c>
      <c r="E11" s="299" t="str">
        <f>IF(INDEX(Standings!$B$4:$W$43,MATCH(Seeding!$B11,Standings!$B$4:$B$43,0),10)*1&gt;0,"+"&amp;INDEX(Standings!$B$4:$W$43,MATCH(Seeding!$B11,Standings!$B$4:$B$43,0),10),INDEX(Standings!$B$4:$W$43,MATCH(Seeding!$B11,Standings!$B$4:$B$43,0),10))</f>
        <v>+149</v>
      </c>
    </row>
    <row r="12" spans="2:5" ht="11.25">
      <c r="B12" s="303">
        <f t="shared" si="0"/>
        <v>8</v>
      </c>
      <c r="C12" s="306" t="str">
        <f>INDEX(Standings!$B$4:$W$43,MATCH(Seeding!$B12,Standings!$B$4:$B$43,0),2)</f>
        <v>University of Utica</v>
      </c>
      <c r="D12" s="299" t="str">
        <f>INDEX(Standings!$B$4:$W$43,MATCH(Seeding!$B12,Standings!$B$4:$B$43,0),6)&amp;"-"&amp;INDEX(Standings!$B$4:$W$43,MATCH(Seeding!$B12,Standings!$B$4:$B$43,0),7)</f>
        <v>11-3</v>
      </c>
      <c r="E12" s="299" t="str">
        <f>IF(INDEX(Standings!$B$4:$W$43,MATCH(Seeding!$B12,Standings!$B$4:$B$43,0),10)*1&gt;0,"+"&amp;INDEX(Standings!$B$4:$W$43,MATCH(Seeding!$B12,Standings!$B$4:$B$43,0),10),INDEX(Standings!$B$4:$W$43,MATCH(Seeding!$B12,Standings!$B$4:$B$43,0),10))</f>
        <v>+182</v>
      </c>
    </row>
    <row r="13" spans="2:5" ht="11.25">
      <c r="B13" s="303">
        <f t="shared" si="0"/>
        <v>9</v>
      </c>
      <c r="C13" s="306" t="str">
        <f>INDEX(Standings!$B$4:$W$43,MATCH(Seeding!$B13,Standings!$B$4:$B$43,0),2)</f>
        <v>Bugny A&amp;M University</v>
      </c>
      <c r="D13" s="299" t="str">
        <f>INDEX(Standings!$B$4:$W$43,MATCH(Seeding!$B13,Standings!$B$4:$B$43,0),6)&amp;"-"&amp;INDEX(Standings!$B$4:$W$43,MATCH(Seeding!$B13,Standings!$B$4:$B$43,0),7)</f>
        <v>11-3</v>
      </c>
      <c r="E13" s="299" t="str">
        <f>IF(INDEX(Standings!$B$4:$W$43,MATCH(Seeding!$B13,Standings!$B$4:$B$43,0),10)*1&gt;0,"+"&amp;INDEX(Standings!$B$4:$W$43,MATCH(Seeding!$B13,Standings!$B$4:$B$43,0),10),INDEX(Standings!$B$4:$W$43,MATCH(Seeding!$B13,Standings!$B$4:$B$43,0),10))</f>
        <v>+175</v>
      </c>
    </row>
    <row r="14" spans="2:5" ht="11.25">
      <c r="B14" s="303">
        <f t="shared" si="0"/>
        <v>10</v>
      </c>
      <c r="C14" s="306" t="str">
        <f>INDEX(Standings!$B$4:$W$43,MATCH(Seeding!$B14,Standings!$B$4:$B$43,0),2)</f>
        <v>Frbiba State University</v>
      </c>
      <c r="D14" s="299" t="str">
        <f>INDEX(Standings!$B$4:$W$43,MATCH(Seeding!$B14,Standings!$B$4:$B$43,0),6)&amp;"-"&amp;INDEX(Standings!$B$4:$W$43,MATCH(Seeding!$B14,Standings!$B$4:$B$43,0),7)</f>
        <v>11-3</v>
      </c>
      <c r="E14" s="299" t="str">
        <f>IF(INDEX(Standings!$B$4:$W$43,MATCH(Seeding!$B14,Standings!$B$4:$B$43,0),10)*1&gt;0,"+"&amp;INDEX(Standings!$B$4:$W$43,MATCH(Seeding!$B14,Standings!$B$4:$B$43,0),10),INDEX(Standings!$B$4:$W$43,MATCH(Seeding!$B14,Standings!$B$4:$B$43,0),10))</f>
        <v>+142</v>
      </c>
    </row>
    <row r="15" spans="2:5" ht="11.25">
      <c r="B15" s="303">
        <f t="shared" si="0"/>
        <v>11</v>
      </c>
      <c r="C15" s="306" t="str">
        <f>INDEX(Standings!$B$4:$W$43,MATCH(Seeding!$B15,Standings!$B$4:$B$43,0),2)</f>
        <v>University of Arkinesia</v>
      </c>
      <c r="D15" s="299" t="str">
        <f>INDEX(Standings!$B$4:$W$43,MATCH(Seeding!$B15,Standings!$B$4:$B$43,0),6)&amp;"-"&amp;INDEX(Standings!$B$4:$W$43,MATCH(Seeding!$B15,Standings!$B$4:$B$43,0),7)</f>
        <v>10-4</v>
      </c>
      <c r="E15" s="299" t="str">
        <f>IF(INDEX(Standings!$B$4:$W$43,MATCH(Seeding!$B15,Standings!$B$4:$B$43,0),10)*1&gt;0,"+"&amp;INDEX(Standings!$B$4:$W$43,MATCH(Seeding!$B15,Standings!$B$4:$B$43,0),10),INDEX(Standings!$B$4:$W$43,MATCH(Seeding!$B15,Standings!$B$4:$B$43,0),10))</f>
        <v>+147</v>
      </c>
    </row>
    <row r="16" spans="2:5" ht="11.25">
      <c r="B16" s="303">
        <f t="shared" si="0"/>
        <v>12</v>
      </c>
      <c r="C16" s="306" t="str">
        <f>INDEX(Standings!$B$4:$W$43,MATCH(Seeding!$B16,Standings!$B$4:$B$43,0),2)</f>
        <v>Saugeais State University</v>
      </c>
      <c r="D16" s="299" t="str">
        <f>INDEX(Standings!$B$4:$W$43,MATCH(Seeding!$B16,Standings!$B$4:$B$43,0),6)&amp;"-"&amp;INDEX(Standings!$B$4:$W$43,MATCH(Seeding!$B16,Standings!$B$4:$B$43,0),7)</f>
        <v>10-4</v>
      </c>
      <c r="E16" s="299" t="str">
        <f>IF(INDEX(Standings!$B$4:$W$43,MATCH(Seeding!$B16,Standings!$B$4:$B$43,0),10)*1&gt;0,"+"&amp;INDEX(Standings!$B$4:$W$43,MATCH(Seeding!$B16,Standings!$B$4:$B$43,0),10),INDEX(Standings!$B$4:$W$43,MATCH(Seeding!$B16,Standings!$B$4:$B$43,0),10))</f>
        <v>+138</v>
      </c>
    </row>
    <row r="17" spans="2:5" ht="11.25">
      <c r="B17" s="303">
        <f t="shared" si="0"/>
        <v>13</v>
      </c>
      <c r="C17" s="306" t="str">
        <f>INDEX(Standings!$B$4:$W$43,MATCH(Seeding!$B17,Standings!$B$4:$B$43,0),2)</f>
        <v>University of St. John's Island</v>
      </c>
      <c r="D17" s="299" t="str">
        <f>INDEX(Standings!$B$4:$W$43,MATCH(Seeding!$B17,Standings!$B$4:$B$43,0),6)&amp;"-"&amp;INDEX(Standings!$B$4:$W$43,MATCH(Seeding!$B17,Standings!$B$4:$B$43,0),7)</f>
        <v>10-4</v>
      </c>
      <c r="E17" s="299" t="str">
        <f>IF(INDEX(Standings!$B$4:$W$43,MATCH(Seeding!$B17,Standings!$B$4:$B$43,0),10)*1&gt;0,"+"&amp;INDEX(Standings!$B$4:$W$43,MATCH(Seeding!$B17,Standings!$B$4:$B$43,0),10),INDEX(Standings!$B$4:$W$43,MATCH(Seeding!$B17,Standings!$B$4:$B$43,0),10))</f>
        <v>+120</v>
      </c>
    </row>
    <row r="18" spans="2:5" ht="11.25">
      <c r="B18" s="303">
        <f t="shared" si="0"/>
        <v>14</v>
      </c>
      <c r="C18" s="306" t="str">
        <f>INDEX(Standings!$B$4:$W$43,MATCH(Seeding!$B18,Standings!$B$4:$B$43,0),2)</f>
        <v>Touffer University</v>
      </c>
      <c r="D18" s="299" t="str">
        <f>INDEX(Standings!$B$4:$W$43,MATCH(Seeding!$B18,Standings!$B$4:$B$43,0),6)&amp;"-"&amp;INDEX(Standings!$B$4:$W$43,MATCH(Seeding!$B18,Standings!$B$4:$B$43,0),7)</f>
        <v>9-5</v>
      </c>
      <c r="E18" s="299" t="str">
        <f>IF(INDEX(Standings!$B$4:$W$43,MATCH(Seeding!$B18,Standings!$B$4:$B$43,0),10)*1&gt;0,"+"&amp;INDEX(Standings!$B$4:$W$43,MATCH(Seeding!$B18,Standings!$B$4:$B$43,0),10),INDEX(Standings!$B$4:$W$43,MATCH(Seeding!$B18,Standings!$B$4:$B$43,0),10))</f>
        <v>+76</v>
      </c>
    </row>
    <row r="19" spans="2:5" ht="11.25">
      <c r="B19" s="303">
        <f t="shared" si="0"/>
        <v>15</v>
      </c>
      <c r="C19" s="306" t="str">
        <f>INDEX(Standings!$B$4:$W$43,MATCH(Seeding!$B19,Standings!$B$4:$B$43,0),2)</f>
        <v>Tim City University</v>
      </c>
      <c r="D19" s="299" t="str">
        <f>INDEX(Standings!$B$4:$W$43,MATCH(Seeding!$B19,Standings!$B$4:$B$43,0),6)&amp;"-"&amp;INDEX(Standings!$B$4:$W$43,MATCH(Seeding!$B19,Standings!$B$4:$B$43,0),7)</f>
        <v>8-6</v>
      </c>
      <c r="E19" s="299" t="str">
        <f>IF(INDEX(Standings!$B$4:$W$43,MATCH(Seeding!$B19,Standings!$B$4:$B$43,0),10)*1&gt;0,"+"&amp;INDEX(Standings!$B$4:$W$43,MATCH(Seeding!$B19,Standings!$B$4:$B$43,0),10),INDEX(Standings!$B$4:$W$43,MATCH(Seeding!$B19,Standings!$B$4:$B$43,0),10))</f>
        <v>+13</v>
      </c>
    </row>
    <row r="20" spans="2:5" ht="12" thickBot="1">
      <c r="B20" s="304">
        <f t="shared" si="0"/>
        <v>16</v>
      </c>
      <c r="C20" s="307" t="str">
        <f>INDEX(Standings!$B$4:$W$43,MATCH(Seeding!$B20,Standings!$B$4:$B$43,0),2)</f>
        <v>Alex Util College</v>
      </c>
      <c r="D20" s="301" t="str">
        <f>INDEX(Standings!$B$4:$W$43,MATCH(Seeding!$B20,Standings!$B$4:$B$43,0),6)&amp;"-"&amp;INDEX(Standings!$B$4:$W$43,MATCH(Seeding!$B20,Standings!$B$4:$B$43,0),7)</f>
        <v>7-7</v>
      </c>
      <c r="E20" s="301" t="str">
        <f>IF(INDEX(Standings!$B$4:$W$43,MATCH(Seeding!$B20,Standings!$B$4:$B$43,0),10)*1&gt;0,"+"&amp;INDEX(Standings!$B$4:$W$43,MATCH(Seeding!$B20,Standings!$B$4:$B$43,0),10),INDEX(Standings!$B$4:$W$43,MATCH(Seeding!$B20,Standings!$B$4:$B$43,0),10))</f>
        <v>+12</v>
      </c>
    </row>
    <row r="21" spans="2:5" ht="11.25">
      <c r="B21" s="308">
        <f t="shared" si="0"/>
        <v>17</v>
      </c>
      <c r="C21" s="309" t="str">
        <f>INDEX(Standings!$B$4:$W$43,MATCH(Seeding!$B21,Standings!$B$4:$B$43,0),2)</f>
        <v>Fair Haven State University</v>
      </c>
      <c r="D21" s="310" t="str">
        <f>INDEX(Standings!$B$4:$W$43,MATCH(Seeding!$B21,Standings!$B$4:$B$43,0),6)&amp;"-"&amp;INDEX(Standings!$B$4:$W$43,MATCH(Seeding!$B21,Standings!$B$4:$B$43,0),7)</f>
        <v>7-7</v>
      </c>
      <c r="E21" s="310" t="str">
        <f>IF(INDEX(Standings!$B$4:$W$43,MATCH(Seeding!$B21,Standings!$B$4:$B$43,0),10)*1&gt;0,"+"&amp;INDEX(Standings!$B$4:$W$43,MATCH(Seeding!$B21,Standings!$B$4:$B$43,0),10),INDEX(Standings!$B$4:$W$43,MATCH(Seeding!$B21,Standings!$B$4:$B$43,0),10))</f>
        <v>+31</v>
      </c>
    </row>
    <row r="22" spans="2:5" ht="11.25">
      <c r="B22" s="308">
        <f t="shared" si="0"/>
        <v>18</v>
      </c>
      <c r="C22" s="309" t="str">
        <f>INDEX(Standings!$B$4:$W$43,MATCH(Seeding!$B22,Standings!$B$4:$B$43,0),2)</f>
        <v>University of Spitfyred - North</v>
      </c>
      <c r="D22" s="310" t="str">
        <f>INDEX(Standings!$B$4:$W$43,MATCH(Seeding!$B22,Standings!$B$4:$B$43,0),6)&amp;"-"&amp;INDEX(Standings!$B$4:$W$43,MATCH(Seeding!$B22,Standings!$B$4:$B$43,0),7)</f>
        <v>7-7</v>
      </c>
      <c r="E22" s="310" t="str">
        <f>IF(INDEX(Standings!$B$4:$W$43,MATCH(Seeding!$B22,Standings!$B$4:$B$43,0),10)*1&gt;0,"+"&amp;INDEX(Standings!$B$4:$W$43,MATCH(Seeding!$B22,Standings!$B$4:$B$43,0),10),INDEX(Standings!$B$4:$W$43,MATCH(Seeding!$B22,Standings!$B$4:$B$43,0),10))</f>
        <v>+48</v>
      </c>
    </row>
    <row r="23" spans="2:5" ht="11.25">
      <c r="B23" s="308">
        <f t="shared" si="0"/>
        <v>19</v>
      </c>
      <c r="C23" s="309" t="str">
        <f>INDEX(Standings!$B$4:$W$43,MATCH(Seeding!$B23,Standings!$B$4:$B$43,0),2)</f>
        <v>Bucktown University</v>
      </c>
      <c r="D23" s="310" t="str">
        <f>INDEX(Standings!$B$4:$W$43,MATCH(Seeding!$B23,Standings!$B$4:$B$43,0),6)&amp;"-"&amp;INDEX(Standings!$B$4:$W$43,MATCH(Seeding!$B23,Standings!$B$4:$B$43,0),7)</f>
        <v>7-7</v>
      </c>
      <c r="E23" s="310" t="str">
        <f>IF(INDEX(Standings!$B$4:$W$43,MATCH(Seeding!$B23,Standings!$B$4:$B$43,0),10)*1&gt;0,"+"&amp;INDEX(Standings!$B$4:$W$43,MATCH(Seeding!$B23,Standings!$B$4:$B$43,0),10),INDEX(Standings!$B$4:$W$43,MATCH(Seeding!$B23,Standings!$B$4:$B$43,0),10))</f>
        <v>+2</v>
      </c>
    </row>
    <row r="24" spans="2:5" ht="11.25">
      <c r="B24" s="308">
        <f t="shared" si="0"/>
        <v>20</v>
      </c>
      <c r="C24" s="309" t="str">
        <f>INDEX(Standings!$B$4:$W$43,MATCH(Seeding!$B24,Standings!$B$4:$B$43,0),2)</f>
        <v>East Kilbride University</v>
      </c>
      <c r="D24" s="310" t="str">
        <f>INDEX(Standings!$B$4:$W$43,MATCH(Seeding!$B24,Standings!$B$4:$B$43,0),6)&amp;"-"&amp;INDEX(Standings!$B$4:$W$43,MATCH(Seeding!$B24,Standings!$B$4:$B$43,0),7)</f>
        <v>7-7</v>
      </c>
      <c r="E24" s="310">
        <f>IF(INDEX(Standings!$B$4:$W$43,MATCH(Seeding!$B24,Standings!$B$4:$B$43,0),10)*1&gt;0,"+"&amp;INDEX(Standings!$B$4:$W$43,MATCH(Seeding!$B24,Standings!$B$4:$B$43,0),10),INDEX(Standings!$B$4:$W$43,MATCH(Seeding!$B24,Standings!$B$4:$B$43,0),10))</f>
        <v>-84</v>
      </c>
    </row>
    <row r="25" spans="2:5" ht="11.25">
      <c r="B25" s="308">
        <f t="shared" si="0"/>
        <v>21</v>
      </c>
      <c r="C25" s="309" t="str">
        <f>INDEX(Standings!$B$4:$W$43,MATCH(Seeding!$B25,Standings!$B$4:$B$43,0),2)</f>
        <v>Red State University</v>
      </c>
      <c r="D25" s="310" t="str">
        <f>INDEX(Standings!$B$4:$W$43,MATCH(Seeding!$B25,Standings!$B$4:$B$43,0),6)&amp;"-"&amp;INDEX(Standings!$B$4:$W$43,MATCH(Seeding!$B25,Standings!$B$4:$B$43,0),7)</f>
        <v>6-8</v>
      </c>
      <c r="E25" s="310">
        <f>IF(INDEX(Standings!$B$4:$W$43,MATCH(Seeding!$B25,Standings!$B$4:$B$43,0),10)*1&gt;0,"+"&amp;INDEX(Standings!$B$4:$W$43,MATCH(Seeding!$B25,Standings!$B$4:$B$43,0),10),INDEX(Standings!$B$4:$W$43,MATCH(Seeding!$B25,Standings!$B$4:$B$43,0),10))</f>
        <v>-51</v>
      </c>
    </row>
    <row r="26" spans="2:5" ht="11.25">
      <c r="B26" s="308">
        <f t="shared" si="0"/>
        <v>22</v>
      </c>
      <c r="C26" s="309" t="str">
        <f>INDEX(Standings!$B$4:$W$43,MATCH(Seeding!$B26,Standings!$B$4:$B$43,0),2)</f>
        <v>Indana University</v>
      </c>
      <c r="D26" s="310" t="str">
        <f>INDEX(Standings!$B$4:$W$43,MATCH(Seeding!$B26,Standings!$B$4:$B$43,0),6)&amp;"-"&amp;INDEX(Standings!$B$4:$W$43,MATCH(Seeding!$B26,Standings!$B$4:$B$43,0),7)</f>
        <v>6-8</v>
      </c>
      <c r="E26" s="310">
        <f>IF(INDEX(Standings!$B$4:$W$43,MATCH(Seeding!$B26,Standings!$B$4:$B$43,0),10)*1&gt;0,"+"&amp;INDEX(Standings!$B$4:$W$43,MATCH(Seeding!$B26,Standings!$B$4:$B$43,0),10),INDEX(Standings!$B$4:$W$43,MATCH(Seeding!$B26,Standings!$B$4:$B$43,0),10))</f>
        <v>-66</v>
      </c>
    </row>
    <row r="27" spans="2:5" ht="11.25">
      <c r="B27" s="308">
        <f t="shared" si="0"/>
        <v>23</v>
      </c>
      <c r="C27" s="309" t="str">
        <f>INDEX(Standings!$B$4:$W$43,MATCH(Seeding!$B27,Standings!$B$4:$B$43,0),2)</f>
        <v>Arlnet University</v>
      </c>
      <c r="D27" s="310" t="str">
        <f>INDEX(Standings!$B$4:$W$43,MATCH(Seeding!$B27,Standings!$B$4:$B$43,0),6)&amp;"-"&amp;INDEX(Standings!$B$4:$W$43,MATCH(Seeding!$B27,Standings!$B$4:$B$43,0),7)</f>
        <v>6-8</v>
      </c>
      <c r="E27" s="310">
        <f>IF(INDEX(Standings!$B$4:$W$43,MATCH(Seeding!$B27,Standings!$B$4:$B$43,0),10)*1&gt;0,"+"&amp;INDEX(Standings!$B$4:$W$43,MATCH(Seeding!$B27,Standings!$B$4:$B$43,0),10),INDEX(Standings!$B$4:$W$43,MATCH(Seeding!$B27,Standings!$B$4:$B$43,0),10))</f>
        <v>-7</v>
      </c>
    </row>
    <row r="28" spans="2:5" ht="11.25">
      <c r="B28" s="308">
        <f t="shared" si="0"/>
        <v>24</v>
      </c>
      <c r="C28" s="309" t="str">
        <f>INDEX(Standings!$B$4:$W$43,MATCH(Seeding!$B28,Standings!$B$4:$B$43,0),2)</f>
        <v>West Siena Institute of Technology</v>
      </c>
      <c r="D28" s="310" t="str">
        <f>INDEX(Standings!$B$4:$W$43,MATCH(Seeding!$B28,Standings!$B$4:$B$43,0),6)&amp;"-"&amp;INDEX(Standings!$B$4:$W$43,MATCH(Seeding!$B28,Standings!$B$4:$B$43,0),7)</f>
        <v>5-9</v>
      </c>
      <c r="E28" s="310">
        <f>IF(INDEX(Standings!$B$4:$W$43,MATCH(Seeding!$B28,Standings!$B$4:$B$43,0),10)*1&gt;0,"+"&amp;INDEX(Standings!$B$4:$W$43,MATCH(Seeding!$B28,Standings!$B$4:$B$43,0),10),INDEX(Standings!$B$4:$W$43,MATCH(Seeding!$B28,Standings!$B$4:$B$43,0),10))</f>
        <v>-96</v>
      </c>
    </row>
    <row r="29" spans="2:5" ht="11.25">
      <c r="B29" s="308">
        <f t="shared" si="0"/>
        <v>25</v>
      </c>
      <c r="C29" s="309" t="str">
        <f>INDEX(Standings!$B$4:$W$43,MATCH(Seeding!$B29,Standings!$B$4:$B$43,0),2)</f>
        <v>Caroga University</v>
      </c>
      <c r="D29" s="310" t="str">
        <f>INDEX(Standings!$B$4:$W$43,MATCH(Seeding!$B29,Standings!$B$4:$B$43,0),6)&amp;"-"&amp;INDEX(Standings!$B$4:$W$43,MATCH(Seeding!$B29,Standings!$B$4:$B$43,0),7)</f>
        <v>5-9</v>
      </c>
      <c r="E29" s="310">
        <f>IF(INDEX(Standings!$B$4:$W$43,MATCH(Seeding!$B29,Standings!$B$4:$B$43,0),10)*1&gt;0,"+"&amp;INDEX(Standings!$B$4:$W$43,MATCH(Seeding!$B29,Standings!$B$4:$B$43,0),10),INDEX(Standings!$B$4:$W$43,MATCH(Seeding!$B29,Standings!$B$4:$B$43,0),10))</f>
        <v>-55</v>
      </c>
    </row>
    <row r="30" spans="2:5" ht="11.25">
      <c r="B30" s="308">
        <f t="shared" si="0"/>
        <v>26</v>
      </c>
      <c r="C30" s="309" t="str">
        <f>INDEX(Standings!$B$4:$W$43,MATCH(Seeding!$B30,Standings!$B$4:$B$43,0),2)</f>
        <v>Blue University</v>
      </c>
      <c r="D30" s="310" t="str">
        <f>INDEX(Standings!$B$4:$W$43,MATCH(Seeding!$B30,Standings!$B$4:$B$43,0),6)&amp;"-"&amp;INDEX(Standings!$B$4:$W$43,MATCH(Seeding!$B30,Standings!$B$4:$B$43,0),7)</f>
        <v>5-9</v>
      </c>
      <c r="E30" s="310">
        <f>IF(INDEX(Standings!$B$4:$W$43,MATCH(Seeding!$B30,Standings!$B$4:$B$43,0),10)*1&gt;0,"+"&amp;INDEX(Standings!$B$4:$W$43,MATCH(Seeding!$B30,Standings!$B$4:$B$43,0),10),INDEX(Standings!$B$4:$W$43,MATCH(Seeding!$B30,Standings!$B$4:$B$43,0),10))</f>
        <v>-58</v>
      </c>
    </row>
    <row r="31" spans="2:5" ht="11.25">
      <c r="B31" s="308">
        <f t="shared" si="0"/>
        <v>27</v>
      </c>
      <c r="C31" s="309" t="str">
        <f>INDEX(Standings!$B$4:$W$43,MATCH(Seeding!$B31,Standings!$B$4:$B$43,0),2)</f>
        <v>Harloop University</v>
      </c>
      <c r="D31" s="310" t="str">
        <f>INDEX(Standings!$B$4:$W$43,MATCH(Seeding!$B31,Standings!$B$4:$B$43,0),6)&amp;"-"&amp;INDEX(Standings!$B$4:$W$43,MATCH(Seeding!$B31,Standings!$B$4:$B$43,0),7)</f>
        <v>5-9</v>
      </c>
      <c r="E31" s="310">
        <f>IF(INDEX(Standings!$B$4:$W$43,MATCH(Seeding!$B31,Standings!$B$4:$B$43,0),10)*1&gt;0,"+"&amp;INDEX(Standings!$B$4:$W$43,MATCH(Seeding!$B31,Standings!$B$4:$B$43,0),10),INDEX(Standings!$B$4:$W$43,MATCH(Seeding!$B31,Standings!$B$4:$B$43,0),10))</f>
        <v>-80</v>
      </c>
    </row>
    <row r="32" spans="2:5" ht="11.25">
      <c r="B32" s="308">
        <f t="shared" si="0"/>
        <v>28</v>
      </c>
      <c r="C32" s="309" t="str">
        <f>INDEX(Standings!$B$4:$W$43,MATCH(Seeding!$B32,Standings!$B$4:$B$43,0),2)</f>
        <v>University of Jagoza</v>
      </c>
      <c r="D32" s="310" t="str">
        <f>INDEX(Standings!$B$4:$W$43,MATCH(Seeding!$B32,Standings!$B$4:$B$43,0),6)&amp;"-"&amp;INDEX(Standings!$B$4:$W$43,MATCH(Seeding!$B32,Standings!$B$4:$B$43,0),7)</f>
        <v>5-9</v>
      </c>
      <c r="E32" s="310">
        <f>IF(INDEX(Standings!$B$4:$W$43,MATCH(Seeding!$B32,Standings!$B$4:$B$43,0),10)*1&gt;0,"+"&amp;INDEX(Standings!$B$4:$W$43,MATCH(Seeding!$B32,Standings!$B$4:$B$43,0),10),INDEX(Standings!$B$4:$W$43,MATCH(Seeding!$B32,Standings!$B$4:$B$43,0),10))</f>
        <v>-13</v>
      </c>
    </row>
    <row r="33" spans="2:5" ht="11.25">
      <c r="B33" s="308">
        <f t="shared" si="0"/>
        <v>29</v>
      </c>
      <c r="C33" s="309" t="str">
        <f>INDEX(Standings!$B$4:$W$43,MATCH(Seeding!$B33,Standings!$B$4:$B$43,0),2)</f>
        <v>Wijlik Aviation Academy</v>
      </c>
      <c r="D33" s="310" t="str">
        <f>INDEX(Standings!$B$4:$W$43,MATCH(Seeding!$B33,Standings!$B$4:$B$43,0),6)&amp;"-"&amp;INDEX(Standings!$B$4:$W$43,MATCH(Seeding!$B33,Standings!$B$4:$B$43,0),7)</f>
        <v>5-9</v>
      </c>
      <c r="E33" s="310">
        <f>IF(INDEX(Standings!$B$4:$W$43,MATCH(Seeding!$B33,Standings!$B$4:$B$43,0),10)*1&gt;0,"+"&amp;INDEX(Standings!$B$4:$W$43,MATCH(Seeding!$B33,Standings!$B$4:$B$43,0),10),INDEX(Standings!$B$4:$W$43,MATCH(Seeding!$B33,Standings!$B$4:$B$43,0),10))</f>
        <v>-51</v>
      </c>
    </row>
    <row r="34" spans="2:5" ht="11.25">
      <c r="B34" s="308">
        <f t="shared" si="0"/>
        <v>30</v>
      </c>
      <c r="C34" s="309" t="str">
        <f>INDEX(Standings!$B$4:$W$43,MATCH(Seeding!$B34,Standings!$B$4:$B$43,0),2)</f>
        <v>University of Weinersnitzel</v>
      </c>
      <c r="D34" s="310" t="str">
        <f>INDEX(Standings!$B$4:$W$43,MATCH(Seeding!$B34,Standings!$B$4:$B$43,0),6)&amp;"-"&amp;INDEX(Standings!$B$4:$W$43,MATCH(Seeding!$B34,Standings!$B$4:$B$43,0),7)</f>
        <v>4-10</v>
      </c>
      <c r="E34" s="310">
        <f>IF(INDEX(Standings!$B$4:$W$43,MATCH(Seeding!$B34,Standings!$B$4:$B$43,0),10)*1&gt;0,"+"&amp;INDEX(Standings!$B$4:$W$43,MATCH(Seeding!$B34,Standings!$B$4:$B$43,0),10),INDEX(Standings!$B$4:$W$43,MATCH(Seeding!$B34,Standings!$B$4:$B$43,0),10))</f>
        <v>-76</v>
      </c>
    </row>
    <row r="35" spans="2:5" ht="11.25">
      <c r="B35" s="308">
        <f t="shared" si="0"/>
        <v>31</v>
      </c>
      <c r="C35" s="309" t="str">
        <f>INDEX(Standings!$B$4:$W$43,MATCH(Seeding!$B35,Standings!$B$4:$B$43,0),2)</f>
        <v>Stoneshore College</v>
      </c>
      <c r="D35" s="310" t="str">
        <f>INDEX(Standings!$B$4:$W$43,MATCH(Seeding!$B35,Standings!$B$4:$B$43,0),6)&amp;"-"&amp;INDEX(Standings!$B$4:$W$43,MATCH(Seeding!$B35,Standings!$B$4:$B$43,0),7)</f>
        <v>4-10</v>
      </c>
      <c r="E35" s="310">
        <f>IF(INDEX(Standings!$B$4:$W$43,MATCH(Seeding!$B35,Standings!$B$4:$B$43,0),10)*1&gt;0,"+"&amp;INDEX(Standings!$B$4:$W$43,MATCH(Seeding!$B35,Standings!$B$4:$B$43,0),10),INDEX(Standings!$B$4:$W$43,MATCH(Seeding!$B35,Standings!$B$4:$B$43,0),10))</f>
        <v>-122</v>
      </c>
    </row>
    <row r="36" spans="2:5" ht="11.25">
      <c r="B36" s="308">
        <f t="shared" si="0"/>
        <v>32</v>
      </c>
      <c r="C36" s="309" t="str">
        <f>INDEX(Standings!$B$4:$W$43,MATCH(Seeding!$B36,Standings!$B$4:$B$43,0),2)</f>
        <v>Northern Dinagat State University</v>
      </c>
      <c r="D36" s="310" t="str">
        <f>INDEX(Standings!$B$4:$W$43,MATCH(Seeding!$B36,Standings!$B$4:$B$43,0),6)&amp;"-"&amp;INDEX(Standings!$B$4:$W$43,MATCH(Seeding!$B36,Standings!$B$4:$B$43,0),7)</f>
        <v>3-11</v>
      </c>
      <c r="E36" s="310">
        <f>IF(INDEX(Standings!$B$4:$W$43,MATCH(Seeding!$B36,Standings!$B$4:$B$43,0),10)*1&gt;0,"+"&amp;INDEX(Standings!$B$4:$W$43,MATCH(Seeding!$B36,Standings!$B$4:$B$43,0),10),INDEX(Standings!$B$4:$W$43,MATCH(Seeding!$B36,Standings!$B$4:$B$43,0),10))</f>
        <v>-158</v>
      </c>
    </row>
    <row r="37" spans="2:5" ht="11.25">
      <c r="B37" s="308">
        <f t="shared" si="0"/>
        <v>33</v>
      </c>
      <c r="C37" s="309" t="str">
        <f>INDEX(Standings!$B$4:$W$43,MATCH(Seeding!$B37,Standings!$B$4:$B$43,0),2)</f>
        <v>University of Richardsburg</v>
      </c>
      <c r="D37" s="310" t="str">
        <f>INDEX(Standings!$B$4:$W$43,MATCH(Seeding!$B37,Standings!$B$4:$B$43,0),6)&amp;"-"&amp;INDEX(Standings!$B$4:$W$43,MATCH(Seeding!$B37,Standings!$B$4:$B$43,0),7)</f>
        <v>3-11</v>
      </c>
      <c r="E37" s="310">
        <f>IF(INDEX(Standings!$B$4:$W$43,MATCH(Seeding!$B37,Standings!$B$4:$B$43,0),10)*1&gt;0,"+"&amp;INDEX(Standings!$B$4:$W$43,MATCH(Seeding!$B37,Standings!$B$4:$B$43,0),10),INDEX(Standings!$B$4:$W$43,MATCH(Seeding!$B37,Standings!$B$4:$B$43,0),10))</f>
        <v>-122</v>
      </c>
    </row>
    <row r="38" spans="2:5" ht="11.25">
      <c r="B38" s="308">
        <f t="shared" si="0"/>
        <v>34</v>
      </c>
      <c r="C38" s="309" t="str">
        <f>INDEX(Standings!$B$4:$W$43,MATCH(Seeding!$B38,Standings!$B$4:$B$43,0),2)</f>
        <v>University of Olympia</v>
      </c>
      <c r="D38" s="310" t="str">
        <f>INDEX(Standings!$B$4:$W$43,MATCH(Seeding!$B38,Standings!$B$4:$B$43,0),6)&amp;"-"&amp;INDEX(Standings!$B$4:$W$43,MATCH(Seeding!$B38,Standings!$B$4:$B$43,0),7)</f>
        <v>3-11</v>
      </c>
      <c r="E38" s="310">
        <f>IF(INDEX(Standings!$B$4:$W$43,MATCH(Seeding!$B38,Standings!$B$4:$B$43,0),10)*1&gt;0,"+"&amp;INDEX(Standings!$B$4:$W$43,MATCH(Seeding!$B38,Standings!$B$4:$B$43,0),10),INDEX(Standings!$B$4:$W$43,MATCH(Seeding!$B38,Standings!$B$4:$B$43,0),10))</f>
        <v>-124</v>
      </c>
    </row>
    <row r="39" spans="2:5" ht="11.25">
      <c r="B39" s="308">
        <f t="shared" si="0"/>
        <v>35</v>
      </c>
      <c r="C39" s="309" t="str">
        <f>INDEX(Standings!$B$4:$W$43,MATCH(Seeding!$B39,Standings!$B$4:$B$43,0),2)</f>
        <v>Walterton University</v>
      </c>
      <c r="D39" s="310" t="str">
        <f>INDEX(Standings!$B$4:$W$43,MATCH(Seeding!$B39,Standings!$B$4:$B$43,0),6)&amp;"-"&amp;INDEX(Standings!$B$4:$W$43,MATCH(Seeding!$B39,Standings!$B$4:$B$43,0),7)</f>
        <v>3-11</v>
      </c>
      <c r="E39" s="310">
        <f>IF(INDEX(Standings!$B$4:$W$43,MATCH(Seeding!$B39,Standings!$B$4:$B$43,0),10)*1&gt;0,"+"&amp;INDEX(Standings!$B$4:$W$43,MATCH(Seeding!$B39,Standings!$B$4:$B$43,0),10),INDEX(Standings!$B$4:$W$43,MATCH(Seeding!$B39,Standings!$B$4:$B$43,0),10))</f>
        <v>-159</v>
      </c>
    </row>
    <row r="40" spans="2:5" ht="11.25">
      <c r="B40" s="308">
        <f t="shared" si="0"/>
        <v>36</v>
      </c>
      <c r="C40" s="309" t="str">
        <f>INDEX(Standings!$B$4:$W$43,MATCH(Seeding!$B40,Standings!$B$4:$B$43,0),2)</f>
        <v>University of Nobelius</v>
      </c>
      <c r="D40" s="310" t="str">
        <f>INDEX(Standings!$B$4:$W$43,MATCH(Seeding!$B40,Standings!$B$4:$B$43,0),6)&amp;"-"&amp;INDEX(Standings!$B$4:$W$43,MATCH(Seeding!$B40,Standings!$B$4:$B$43,0),7)</f>
        <v>3-11</v>
      </c>
      <c r="E40" s="310">
        <f>IF(INDEX(Standings!$B$4:$W$43,MATCH(Seeding!$B40,Standings!$B$4:$B$43,0),10)*1&gt;0,"+"&amp;INDEX(Standings!$B$4:$W$43,MATCH(Seeding!$B40,Standings!$B$4:$B$43,0),10),INDEX(Standings!$B$4:$W$43,MATCH(Seeding!$B40,Standings!$B$4:$B$43,0),10))</f>
        <v>-170</v>
      </c>
    </row>
    <row r="41" spans="2:5" ht="11.25">
      <c r="B41" s="308">
        <f t="shared" si="0"/>
        <v>37</v>
      </c>
      <c r="C41" s="309" t="str">
        <f>INDEX(Standings!$B$4:$W$43,MATCH(Seeding!$B41,Standings!$B$4:$B$43,0),2)</f>
        <v>Netteingen Tech</v>
      </c>
      <c r="D41" s="310" t="str">
        <f>INDEX(Standings!$B$4:$W$43,MATCH(Seeding!$B41,Standings!$B$4:$B$43,0),6)&amp;"-"&amp;INDEX(Standings!$B$4:$W$43,MATCH(Seeding!$B41,Standings!$B$4:$B$43,0),7)</f>
        <v>3-11</v>
      </c>
      <c r="E41" s="310">
        <f>IF(INDEX(Standings!$B$4:$W$43,MATCH(Seeding!$B41,Standings!$B$4:$B$43,0),10)*1&gt;0,"+"&amp;INDEX(Standings!$B$4:$W$43,MATCH(Seeding!$B41,Standings!$B$4:$B$43,0),10),INDEX(Standings!$B$4:$W$43,MATCH(Seeding!$B41,Standings!$B$4:$B$43,0),10))</f>
        <v>-183</v>
      </c>
    </row>
    <row r="42" spans="2:5" ht="11.25">
      <c r="B42" s="308">
        <f t="shared" si="0"/>
        <v>38</v>
      </c>
      <c r="C42" s="309" t="str">
        <f>INDEX(Standings!$B$4:$W$43,MATCH(Seeding!$B42,Standings!$B$4:$B$43,0),2)</f>
        <v>The Academy of Space</v>
      </c>
      <c r="D42" s="310" t="str">
        <f>INDEX(Standings!$B$4:$W$43,MATCH(Seeding!$B42,Standings!$B$4:$B$43,0),6)&amp;"-"&amp;INDEX(Standings!$B$4:$W$43,MATCH(Seeding!$B42,Standings!$B$4:$B$43,0),7)</f>
        <v>2-12</v>
      </c>
      <c r="E42" s="310">
        <f>IF(INDEX(Standings!$B$4:$W$43,MATCH(Seeding!$B42,Standings!$B$4:$B$43,0),10)*1&gt;0,"+"&amp;INDEX(Standings!$B$4:$W$43,MATCH(Seeding!$B42,Standings!$B$4:$B$43,0),10),INDEX(Standings!$B$4:$W$43,MATCH(Seeding!$B42,Standings!$B$4:$B$43,0),10))</f>
        <v>-186</v>
      </c>
    </row>
    <row r="43" spans="2:5" ht="11.25">
      <c r="B43" s="308">
        <f t="shared" si="0"/>
        <v>39</v>
      </c>
      <c r="C43" s="309" t="str">
        <f>INDEX(Standings!$B$4:$W$43,MATCH(Seeding!$B43,Standings!$B$4:$B$43,0),2)</f>
        <v>Relkul Setta State University</v>
      </c>
      <c r="D43" s="310" t="str">
        <f>INDEX(Standings!$B$4:$W$43,MATCH(Seeding!$B43,Standings!$B$4:$B$43,0),6)&amp;"-"&amp;INDEX(Standings!$B$4:$W$43,MATCH(Seeding!$B43,Standings!$B$4:$B$43,0),7)</f>
        <v>1-13</v>
      </c>
      <c r="E43" s="310">
        <f>IF(INDEX(Standings!$B$4:$W$43,MATCH(Seeding!$B43,Standings!$B$4:$B$43,0),10)*1&gt;0,"+"&amp;INDEX(Standings!$B$4:$W$43,MATCH(Seeding!$B43,Standings!$B$4:$B$43,0),10),INDEX(Standings!$B$4:$W$43,MATCH(Seeding!$B43,Standings!$B$4:$B$43,0),10))</f>
        <v>-247</v>
      </c>
    </row>
    <row r="44" spans="2:5" ht="12" thickBot="1">
      <c r="B44" s="311">
        <f t="shared" si="0"/>
        <v>40</v>
      </c>
      <c r="C44" s="312" t="str">
        <f>INDEX(Standings!$B$4:$W$43,MATCH(Seeding!$B44,Standings!$B$4:$B$43,0),2)</f>
        <v>Hudson College</v>
      </c>
      <c r="D44" s="313" t="str">
        <f>INDEX(Standings!$B$4:$W$43,MATCH(Seeding!$B44,Standings!$B$4:$B$43,0),6)&amp;"-"&amp;INDEX(Standings!$B$4:$W$43,MATCH(Seeding!$B44,Standings!$B$4:$B$43,0),7)</f>
        <v>0-14</v>
      </c>
      <c r="E44" s="313">
        <f>IF(INDEX(Standings!$B$4:$W$43,MATCH(Seeding!$B44,Standings!$B$4:$B$43,0),10)*1&gt;0,"+"&amp;INDEX(Standings!$B$4:$W$43,MATCH(Seeding!$B44,Standings!$B$4:$B$43,0),10),INDEX(Standings!$B$4:$W$43,MATCH(Seeding!$B44,Standings!$B$4:$B$43,0),10))</f>
        <v>-377</v>
      </c>
    </row>
    <row r="45" spans="2:5" ht="11.25">
      <c r="B45" s="59"/>
      <c r="C45" s="59"/>
      <c r="D45" s="59"/>
      <c r="E45" s="59"/>
    </row>
    <row r="46" spans="2:5" ht="11.25">
      <c r="B46" s="59"/>
      <c r="C46" s="59"/>
      <c r="D46" s="59"/>
      <c r="E46" s="59"/>
    </row>
    <row r="47" spans="2:5" ht="11.25">
      <c r="B47" s="59"/>
      <c r="C47" s="59"/>
      <c r="D47" s="59"/>
      <c r="E47" s="5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49"/>
  <sheetViews>
    <sheetView workbookViewId="0" topLeftCell="A1">
      <selection activeCell="A1" sqref="A1"/>
    </sheetView>
  </sheetViews>
  <sheetFormatPr defaultColWidth="9.140625" defaultRowHeight="12.75"/>
  <cols>
    <col min="1" max="1" width="1.421875" style="59" customWidth="1"/>
    <col min="2" max="2" width="4.28125" style="15" hidden="1" customWidth="1"/>
    <col min="3" max="3" width="34.28125" style="11" hidden="1" customWidth="1"/>
    <col min="4" max="4" width="0" style="59" hidden="1" customWidth="1"/>
    <col min="5" max="5" width="4.28125" style="15" customWidth="1"/>
    <col min="6" max="6" width="34.28125" style="11" customWidth="1"/>
    <col min="7" max="31" width="9.140625" style="59" customWidth="1"/>
    <col min="32" max="16384" width="9.140625" style="11" customWidth="1"/>
  </cols>
  <sheetData>
    <row r="1" spans="2:6" ht="11.25">
      <c r="B1" s="60"/>
      <c r="C1" s="59"/>
      <c r="E1" s="60"/>
      <c r="F1" s="59"/>
    </row>
    <row r="2" spans="2:6" ht="11.25">
      <c r="B2" s="60"/>
      <c r="C2" s="59"/>
      <c r="E2" s="60"/>
      <c r="F2" s="59"/>
    </row>
    <row r="3" spans="2:6" ht="7.5" customHeight="1" thickBot="1">
      <c r="B3" s="60"/>
      <c r="C3" s="59"/>
      <c r="E3" s="60"/>
      <c r="F3" s="59"/>
    </row>
    <row r="4" spans="2:6" ht="12" thickBot="1">
      <c r="B4" s="362" t="s">
        <v>283</v>
      </c>
      <c r="C4" s="363"/>
      <c r="E4" s="362" t="s">
        <v>289</v>
      </c>
      <c r="F4" s="363"/>
    </row>
    <row r="5" spans="2:6" ht="11.25" customHeight="1">
      <c r="B5" s="296">
        <v>1</v>
      </c>
      <c r="C5" s="314" t="str">
        <f>INDEX(DummyStandings!$B$5:$BT$48,MATCH(AltSeeding!$B5,DummyStandings!$BT$5:$BT$48,0),2)</f>
        <v>University of Port Salem</v>
      </c>
      <c r="E5" s="302">
        <v>1</v>
      </c>
      <c r="F5" s="305" t="str">
        <f>INDEX(DummyStandings!$B$5:$BR$48,MATCH(AltSeeding!$E5,DummyStandings!$BQ$5:$BQ$48,0),2)</f>
        <v>University of Port Salem</v>
      </c>
    </row>
    <row r="6" spans="2:6" ht="11.25" customHeight="1">
      <c r="B6" s="298">
        <f>B5+1</f>
        <v>2</v>
      </c>
      <c r="C6" s="315" t="str">
        <f>INDEX(DummyStandings!$B$5:$BT$48,MATCH(AltSeeding!$B6,DummyStandings!$BT$5:$BT$48,0),2)</f>
        <v>Ramusok Capital University</v>
      </c>
      <c r="E6" s="303">
        <f>E5+1</f>
        <v>2</v>
      </c>
      <c r="F6" s="306" t="str">
        <f>INDEX(DummyStandings!$B$5:$BR$48,MATCH(AltSeeding!$E6,DummyStandings!$BQ$5:$BQ$48,0),2)</f>
        <v>Colden University</v>
      </c>
    </row>
    <row r="7" spans="2:6" ht="11.25" customHeight="1">
      <c r="B7" s="298">
        <f aca="true" t="shared" si="0" ref="B7:B44">B6+1</f>
        <v>3</v>
      </c>
      <c r="C7" s="315" t="str">
        <f>INDEX(DummyStandings!$B$5:$BT$48,MATCH(AltSeeding!$B7,DummyStandings!$BT$5:$BT$48,0),2)</f>
        <v>Colden University</v>
      </c>
      <c r="E7" s="303">
        <f aca="true" t="shared" si="1" ref="E7:E44">E6+1</f>
        <v>3</v>
      </c>
      <c r="F7" s="306" t="str">
        <f>INDEX(DummyStandings!$B$5:$BR$48,MATCH(AltSeeding!$E7,DummyStandings!$BQ$5:$BQ$48,0),2)</f>
        <v>Ramusok Capital University</v>
      </c>
    </row>
    <row r="8" spans="2:6" ht="11.25" customHeight="1">
      <c r="B8" s="298">
        <f t="shared" si="0"/>
        <v>4</v>
      </c>
      <c r="C8" s="315" t="str">
        <f>INDEX(DummyStandings!$B$5:$BT$48,MATCH(AltSeeding!$B8,DummyStandings!$BT$5:$BT$48,0),2)</f>
        <v>Oklahoma City State University</v>
      </c>
      <c r="E8" s="303">
        <f t="shared" si="1"/>
        <v>4</v>
      </c>
      <c r="F8" s="306" t="str">
        <f>INDEX(DummyStandings!$B$5:$BR$48,MATCH(AltSeeding!$E8,DummyStandings!$BQ$5:$BQ$48,0),2)</f>
        <v>University of Alzburg-Dyka</v>
      </c>
    </row>
    <row r="9" spans="2:6" ht="11.25" customHeight="1">
      <c r="B9" s="298">
        <f t="shared" si="0"/>
        <v>5</v>
      </c>
      <c r="C9" s="315" t="str">
        <f>INDEX(DummyStandings!$B$5:$BT$48,MATCH(AltSeeding!$B9,DummyStandings!$BT$5:$BT$48,0),2)</f>
        <v>University of Alzburg-Dyka</v>
      </c>
      <c r="E9" s="303">
        <f t="shared" si="1"/>
        <v>5</v>
      </c>
      <c r="F9" s="306" t="str">
        <f>INDEX(DummyStandings!$B$5:$BR$48,MATCH(AltSeeding!$E9,DummyStandings!$BQ$5:$BQ$48,0),2)</f>
        <v>Riversburg-Madison University</v>
      </c>
    </row>
    <row r="10" spans="2:6" ht="11.25" customHeight="1">
      <c r="B10" s="298">
        <f t="shared" si="0"/>
        <v>6</v>
      </c>
      <c r="C10" s="315" t="str">
        <f>INDEX(DummyStandings!$B$5:$BT$48,MATCH(AltSeeding!$B10,DummyStandings!$BT$5:$BT$48,0),2)</f>
        <v>Riversburg-Madison University</v>
      </c>
      <c r="E10" s="303">
        <f t="shared" si="1"/>
        <v>6</v>
      </c>
      <c r="F10" s="306" t="str">
        <f>INDEX(DummyStandings!$B$5:$BR$48,MATCH(AltSeeding!$E10,DummyStandings!$BQ$5:$BQ$48,0),2)</f>
        <v>Oklahoma City State University</v>
      </c>
    </row>
    <row r="11" spans="2:6" ht="11.25" customHeight="1">
      <c r="B11" s="298">
        <f t="shared" si="0"/>
        <v>7</v>
      </c>
      <c r="C11" s="315" t="str">
        <f>INDEX(DummyStandings!$B$5:$BT$48,MATCH(AltSeeding!$B11,DummyStandings!$BT$5:$BT$48,0),2)</f>
        <v>Scott City University</v>
      </c>
      <c r="E11" s="303">
        <f t="shared" si="1"/>
        <v>7</v>
      </c>
      <c r="F11" s="306" t="str">
        <f>INDEX(DummyStandings!$B$5:$BR$48,MATCH(AltSeeding!$E11,DummyStandings!$BQ$5:$BQ$48,0),2)</f>
        <v>Scott City University</v>
      </c>
    </row>
    <row r="12" spans="2:6" ht="11.25" customHeight="1">
      <c r="B12" s="298">
        <f t="shared" si="0"/>
        <v>8</v>
      </c>
      <c r="C12" s="315" t="str">
        <f>INDEX(DummyStandings!$B$5:$BT$48,MATCH(AltSeeding!$B12,DummyStandings!$BT$5:$BT$48,0),2)</f>
        <v>University of Utica</v>
      </c>
      <c r="E12" s="303">
        <f t="shared" si="1"/>
        <v>8</v>
      </c>
      <c r="F12" s="306" t="str">
        <f>INDEX(DummyStandings!$B$5:$BR$48,MATCH(AltSeeding!$E12,DummyStandings!$BQ$5:$BQ$48,0),2)</f>
        <v>Frbiba State University</v>
      </c>
    </row>
    <row r="13" spans="2:6" ht="11.25" customHeight="1">
      <c r="B13" s="298">
        <f t="shared" si="0"/>
        <v>9</v>
      </c>
      <c r="C13" s="315" t="str">
        <f>INDEX(DummyStandings!$B$5:$BT$48,MATCH(AltSeeding!$B13,DummyStandings!$BT$5:$BT$48,0),2)</f>
        <v>Bugny A&amp;M University</v>
      </c>
      <c r="E13" s="303">
        <f t="shared" si="1"/>
        <v>9</v>
      </c>
      <c r="F13" s="306" t="str">
        <f>INDEX(DummyStandings!$B$5:$BR$48,MATCH(AltSeeding!$E13,DummyStandings!$BQ$5:$BQ$48,0),2)</f>
        <v>University of St. John's Island</v>
      </c>
    </row>
    <row r="14" spans="2:6" ht="11.25" customHeight="1">
      <c r="B14" s="298">
        <f t="shared" si="0"/>
        <v>10</v>
      </c>
      <c r="C14" s="315" t="str">
        <f>INDEX(DummyStandings!$B$5:$BT$48,MATCH(AltSeeding!$B14,DummyStandings!$BT$5:$BT$48,0),2)</f>
        <v>Frbiba State University</v>
      </c>
      <c r="E14" s="303">
        <f t="shared" si="1"/>
        <v>10</v>
      </c>
      <c r="F14" s="306" t="str">
        <f>INDEX(DummyStandings!$B$5:$BR$48,MATCH(AltSeeding!$E14,DummyStandings!$BQ$5:$BQ$48,0),2)</f>
        <v>Bugny A&amp;M University</v>
      </c>
    </row>
    <row r="15" spans="2:6" ht="11.25" customHeight="1">
      <c r="B15" s="298">
        <f t="shared" si="0"/>
        <v>11</v>
      </c>
      <c r="C15" s="315" t="str">
        <f>INDEX(DummyStandings!$B$5:$BT$48,MATCH(AltSeeding!$B15,DummyStandings!$BT$5:$BT$48,0),2)</f>
        <v>University of Arkinesia</v>
      </c>
      <c r="E15" s="303">
        <f t="shared" si="1"/>
        <v>11</v>
      </c>
      <c r="F15" s="306" t="str">
        <f>INDEX(DummyStandings!$B$5:$BR$48,MATCH(AltSeeding!$E15,DummyStandings!$BQ$5:$BQ$48,0),2)</f>
        <v>University of Utica</v>
      </c>
    </row>
    <row r="16" spans="2:6" ht="11.25" customHeight="1">
      <c r="B16" s="298">
        <f t="shared" si="0"/>
        <v>12</v>
      </c>
      <c r="C16" s="315" t="str">
        <f>INDEX(DummyStandings!$B$5:$BT$48,MATCH(AltSeeding!$B16,DummyStandings!$BT$5:$BT$48,0),2)</f>
        <v>Saugeais State University</v>
      </c>
      <c r="E16" s="303">
        <f t="shared" si="1"/>
        <v>12</v>
      </c>
      <c r="F16" s="306" t="str">
        <f>INDEX(DummyStandings!$B$5:$BR$48,MATCH(AltSeeding!$E16,DummyStandings!$BQ$5:$BQ$48,0),2)</f>
        <v>Saugeais State University</v>
      </c>
    </row>
    <row r="17" spans="2:6" ht="11.25" customHeight="1">
      <c r="B17" s="298">
        <f t="shared" si="0"/>
        <v>13</v>
      </c>
      <c r="C17" s="315" t="str">
        <f>INDEX(DummyStandings!$B$5:$BT$48,MATCH(AltSeeding!$B17,DummyStandings!$BT$5:$BT$48,0),2)</f>
        <v>University of St. John's Island</v>
      </c>
      <c r="E17" s="303">
        <f t="shared" si="1"/>
        <v>13</v>
      </c>
      <c r="F17" s="306" t="str">
        <f>INDEX(DummyStandings!$B$5:$BR$48,MATCH(AltSeeding!$E17,DummyStandings!$BQ$5:$BQ$48,0),2)</f>
        <v>University of Arkinesia</v>
      </c>
    </row>
    <row r="18" spans="2:6" ht="11.25" customHeight="1">
      <c r="B18" s="298">
        <f t="shared" si="0"/>
        <v>14</v>
      </c>
      <c r="C18" s="315" t="str">
        <f>INDEX(DummyStandings!$B$5:$BT$48,MATCH(AltSeeding!$B18,DummyStandings!$BT$5:$BT$48,0),2)</f>
        <v>Touffer University</v>
      </c>
      <c r="E18" s="303">
        <f t="shared" si="1"/>
        <v>14</v>
      </c>
      <c r="F18" s="306" t="str">
        <f>INDEX(DummyStandings!$B$5:$BR$48,MATCH(AltSeeding!$E18,DummyStandings!$BQ$5:$BQ$48,0),2)</f>
        <v>Touffer University</v>
      </c>
    </row>
    <row r="19" spans="2:6" ht="11.25" customHeight="1">
      <c r="B19" s="298">
        <f t="shared" si="0"/>
        <v>15</v>
      </c>
      <c r="C19" s="315" t="str">
        <f>INDEX(DummyStandings!$B$5:$BT$48,MATCH(AltSeeding!$B19,DummyStandings!$BT$5:$BT$48,0),2)</f>
        <v>Tim City University</v>
      </c>
      <c r="E19" s="303">
        <f t="shared" si="1"/>
        <v>15</v>
      </c>
      <c r="F19" s="306" t="str">
        <f>INDEX(DummyStandings!$B$5:$BR$48,MATCH(AltSeeding!$E19,DummyStandings!$BQ$5:$BQ$48,0),2)</f>
        <v>Bucktown University</v>
      </c>
    </row>
    <row r="20" spans="2:6" ht="11.25" customHeight="1" thickBot="1">
      <c r="B20" s="300">
        <f t="shared" si="0"/>
        <v>16</v>
      </c>
      <c r="C20" s="316" t="str">
        <f>INDEX(DummyStandings!$B$5:$BT$48,MATCH(AltSeeding!$B20,DummyStandings!$BT$5:$BT$48,0),2)</f>
        <v>University of Spitfyred - North</v>
      </c>
      <c r="E20" s="304">
        <f t="shared" si="1"/>
        <v>16</v>
      </c>
      <c r="F20" s="307" t="str">
        <f>INDEX(DummyStandings!$B$5:$BR$48,MATCH(AltSeeding!$E20,DummyStandings!$BQ$5:$BQ$48,0),2)</f>
        <v>Tim City University</v>
      </c>
    </row>
    <row r="21" spans="2:6" ht="11.25" customHeight="1">
      <c r="B21" s="317">
        <f t="shared" si="0"/>
        <v>17</v>
      </c>
      <c r="C21" s="318" t="str">
        <f>INDEX(DummyStandings!$B$5:$BT$48,MATCH(AltSeeding!$B21,DummyStandings!$BT$5:$BT$48,0),2)</f>
        <v>Fair Haven State University</v>
      </c>
      <c r="E21" s="308">
        <f t="shared" si="1"/>
        <v>17</v>
      </c>
      <c r="F21" s="309" t="str">
        <f>INDEX(DummyStandings!$B$5:$BR$48,MATCH(AltSeeding!$E21,DummyStandings!$BQ$5:$BQ$48,0),2)</f>
        <v>Arlnet University</v>
      </c>
    </row>
    <row r="22" spans="2:6" ht="11.25" customHeight="1">
      <c r="B22" s="317">
        <f t="shared" si="0"/>
        <v>18</v>
      </c>
      <c r="C22" s="318" t="str">
        <f>INDEX(DummyStandings!$B$5:$BT$48,MATCH(AltSeeding!$B22,DummyStandings!$BT$5:$BT$48,0),2)</f>
        <v>Alex Util College</v>
      </c>
      <c r="E22" s="308">
        <f t="shared" si="1"/>
        <v>18</v>
      </c>
      <c r="F22" s="309" t="str">
        <f>INDEX(DummyStandings!$B$5:$BR$48,MATCH(AltSeeding!$E22,DummyStandings!$BQ$5:$BQ$48,0),2)</f>
        <v>University of Spitfyred - North</v>
      </c>
    </row>
    <row r="23" spans="2:6" ht="11.25" customHeight="1">
      <c r="B23" s="317">
        <f t="shared" si="0"/>
        <v>19</v>
      </c>
      <c r="C23" s="318" t="str">
        <f>INDEX(DummyStandings!$B$5:$BT$48,MATCH(AltSeeding!$B23,DummyStandings!$BT$5:$BT$48,0),2)</f>
        <v>Bucktown University</v>
      </c>
      <c r="E23" s="308">
        <f t="shared" si="1"/>
        <v>19</v>
      </c>
      <c r="F23" s="309" t="str">
        <f>INDEX(DummyStandings!$B$5:$BR$48,MATCH(AltSeeding!$E23,DummyStandings!$BQ$5:$BQ$48,0),2)</f>
        <v>East Kilbride University</v>
      </c>
    </row>
    <row r="24" spans="2:6" ht="11.25" customHeight="1">
      <c r="B24" s="317">
        <f t="shared" si="0"/>
        <v>20</v>
      </c>
      <c r="C24" s="318" t="str">
        <f>INDEX(DummyStandings!$B$5:$BT$48,MATCH(AltSeeding!$B24,DummyStandings!$BT$5:$BT$48,0),2)</f>
        <v>East Kilbride University</v>
      </c>
      <c r="E24" s="308">
        <f t="shared" si="1"/>
        <v>20</v>
      </c>
      <c r="F24" s="309" t="str">
        <f>INDEX(DummyStandings!$B$5:$BR$48,MATCH(AltSeeding!$E24,DummyStandings!$BQ$5:$BQ$48,0),2)</f>
        <v>Alex Util College</v>
      </c>
    </row>
    <row r="25" spans="2:6" ht="11.25" customHeight="1">
      <c r="B25" s="317">
        <f t="shared" si="0"/>
        <v>21</v>
      </c>
      <c r="C25" s="318" t="str">
        <f>INDEX(DummyStandings!$B$5:$BT$48,MATCH(AltSeeding!$B25,DummyStandings!$BT$5:$BT$48,0),2)</f>
        <v>Arlnet University</v>
      </c>
      <c r="E25" s="308">
        <f t="shared" si="1"/>
        <v>21</v>
      </c>
      <c r="F25" s="309" t="str">
        <f>INDEX(DummyStandings!$B$5:$BR$48,MATCH(AltSeeding!$E25,DummyStandings!$BQ$5:$BQ$48,0),2)</f>
        <v>Fair Haven State University</v>
      </c>
    </row>
    <row r="26" spans="2:6" ht="11.25" customHeight="1">
      <c r="B26" s="317">
        <f t="shared" si="0"/>
        <v>22</v>
      </c>
      <c r="C26" s="318" t="str">
        <f>INDEX(DummyStandings!$B$5:$BT$48,MATCH(AltSeeding!$B26,DummyStandings!$BT$5:$BT$48,0),2)</f>
        <v>Red State University</v>
      </c>
      <c r="E26" s="308">
        <f t="shared" si="1"/>
        <v>22</v>
      </c>
      <c r="F26" s="309" t="str">
        <f>INDEX(DummyStandings!$B$5:$BR$48,MATCH(AltSeeding!$E26,DummyStandings!$BQ$5:$BQ$48,0),2)</f>
        <v>Harloop University</v>
      </c>
    </row>
    <row r="27" spans="2:6" ht="11.25" customHeight="1">
      <c r="B27" s="317">
        <f t="shared" si="0"/>
        <v>23</v>
      </c>
      <c r="C27" s="318" t="str">
        <f>INDEX(DummyStandings!$B$5:$BT$48,MATCH(AltSeeding!$B27,DummyStandings!$BT$5:$BT$48,0),2)</f>
        <v>Indana University</v>
      </c>
      <c r="E27" s="308">
        <f t="shared" si="1"/>
        <v>23</v>
      </c>
      <c r="F27" s="309" t="str">
        <f>INDEX(DummyStandings!$B$5:$BR$48,MATCH(AltSeeding!$E27,DummyStandings!$BQ$5:$BQ$48,0),2)</f>
        <v>University of Jagoza</v>
      </c>
    </row>
    <row r="28" spans="2:6" ht="11.25" customHeight="1">
      <c r="B28" s="317">
        <f t="shared" si="0"/>
        <v>24</v>
      </c>
      <c r="C28" s="318" t="str">
        <f>INDEX(DummyStandings!$B$5:$BT$48,MATCH(AltSeeding!$B28,DummyStandings!$BT$5:$BT$48,0),2)</f>
        <v>University of Jagoza</v>
      </c>
      <c r="E28" s="308">
        <f t="shared" si="1"/>
        <v>24</v>
      </c>
      <c r="F28" s="309" t="str">
        <f>INDEX(DummyStandings!$B$5:$BR$48,MATCH(AltSeeding!$E28,DummyStandings!$BQ$5:$BQ$48,0),2)</f>
        <v>Indana University</v>
      </c>
    </row>
    <row r="29" spans="2:6" ht="11.25" customHeight="1">
      <c r="B29" s="317">
        <f t="shared" si="0"/>
        <v>25</v>
      </c>
      <c r="C29" s="318" t="str">
        <f>INDEX(DummyStandings!$B$5:$BT$48,MATCH(AltSeeding!$B29,DummyStandings!$BT$5:$BT$48,0),2)</f>
        <v>Wijlik Aviation Academy</v>
      </c>
      <c r="E29" s="308">
        <f t="shared" si="1"/>
        <v>25</v>
      </c>
      <c r="F29" s="309" t="str">
        <f>INDEX(DummyStandings!$B$5:$BR$48,MATCH(AltSeeding!$E29,DummyStandings!$BQ$5:$BQ$48,0),2)</f>
        <v>Wijlik Aviation Academy</v>
      </c>
    </row>
    <row r="30" spans="2:6" ht="11.25" customHeight="1">
      <c r="B30" s="317">
        <f t="shared" si="0"/>
        <v>26</v>
      </c>
      <c r="C30" s="318" t="str">
        <f>INDEX(DummyStandings!$B$5:$BT$48,MATCH(AltSeeding!$B30,DummyStandings!$BT$5:$BT$48,0),2)</f>
        <v>Caroga University</v>
      </c>
      <c r="E30" s="308">
        <f t="shared" si="1"/>
        <v>26</v>
      </c>
      <c r="F30" s="309" t="str">
        <f>INDEX(DummyStandings!$B$5:$BR$48,MATCH(AltSeeding!$E30,DummyStandings!$BQ$5:$BQ$48,0),2)</f>
        <v>West Siena Institute of Technology</v>
      </c>
    </row>
    <row r="31" spans="2:6" ht="11.25" customHeight="1">
      <c r="B31" s="317">
        <f t="shared" si="0"/>
        <v>27</v>
      </c>
      <c r="C31" s="318" t="str">
        <f>INDEX(DummyStandings!$B$5:$BT$48,MATCH(AltSeeding!$B31,DummyStandings!$BT$5:$BT$48,0),2)</f>
        <v>Blue University</v>
      </c>
      <c r="E31" s="308">
        <f t="shared" si="1"/>
        <v>27</v>
      </c>
      <c r="F31" s="309" t="str">
        <f>INDEX(DummyStandings!$B$5:$BR$48,MATCH(AltSeeding!$E31,DummyStandings!$BQ$5:$BQ$48,0),2)</f>
        <v>Caroga University</v>
      </c>
    </row>
    <row r="32" spans="2:6" ht="11.25" customHeight="1">
      <c r="B32" s="317">
        <f t="shared" si="0"/>
        <v>28</v>
      </c>
      <c r="C32" s="318" t="str">
        <f>INDEX(DummyStandings!$B$5:$BT$48,MATCH(AltSeeding!$B32,DummyStandings!$BT$5:$BT$48,0),2)</f>
        <v>Harloop University</v>
      </c>
      <c r="E32" s="308">
        <f t="shared" si="1"/>
        <v>28</v>
      </c>
      <c r="F32" s="309" t="str">
        <f>INDEX(DummyStandings!$B$5:$BR$48,MATCH(AltSeeding!$E32,DummyStandings!$BQ$5:$BQ$48,0),2)</f>
        <v>Blue University</v>
      </c>
    </row>
    <row r="33" spans="2:6" ht="11.25" customHeight="1">
      <c r="B33" s="317">
        <f t="shared" si="0"/>
        <v>29</v>
      </c>
      <c r="C33" s="318" t="str">
        <f>INDEX(DummyStandings!$B$5:$BT$48,MATCH(AltSeeding!$B33,DummyStandings!$BT$5:$BT$48,0),2)</f>
        <v>West Siena Institute of Technology</v>
      </c>
      <c r="E33" s="308">
        <f t="shared" si="1"/>
        <v>29</v>
      </c>
      <c r="F33" s="309" t="str">
        <f>INDEX(DummyStandings!$B$5:$BR$48,MATCH(AltSeeding!$E33,DummyStandings!$BQ$5:$BQ$48,0),2)</f>
        <v>Red State University</v>
      </c>
    </row>
    <row r="34" spans="2:6" ht="11.25" customHeight="1">
      <c r="B34" s="317">
        <f t="shared" si="0"/>
        <v>30</v>
      </c>
      <c r="C34" s="318" t="str">
        <f>INDEX(DummyStandings!$B$5:$BT$48,MATCH(AltSeeding!$B34,DummyStandings!$BT$5:$BT$48,0),2)</f>
        <v>University of Weinersnitzel</v>
      </c>
      <c r="E34" s="308">
        <f t="shared" si="1"/>
        <v>30</v>
      </c>
      <c r="F34" s="309" t="str">
        <f>INDEX(DummyStandings!$B$5:$BR$48,MATCH(AltSeeding!$E34,DummyStandings!$BQ$5:$BQ$48,0),2)</f>
        <v>Walterton University</v>
      </c>
    </row>
    <row r="35" spans="2:6" ht="11.25" customHeight="1">
      <c r="B35" s="317">
        <f t="shared" si="0"/>
        <v>31</v>
      </c>
      <c r="C35" s="318" t="str">
        <f>INDEX(DummyStandings!$B$5:$BT$48,MATCH(AltSeeding!$B35,DummyStandings!$BT$5:$BT$48,0),2)</f>
        <v>Stoneshore College</v>
      </c>
      <c r="E35" s="308">
        <f t="shared" si="1"/>
        <v>31</v>
      </c>
      <c r="F35" s="309" t="str">
        <f>INDEX(DummyStandings!$B$5:$BR$48,MATCH(AltSeeding!$E35,DummyStandings!$BQ$5:$BQ$48,0),2)</f>
        <v>University of Weinersnitzel</v>
      </c>
    </row>
    <row r="36" spans="2:6" ht="11.25" customHeight="1">
      <c r="B36" s="317">
        <f t="shared" si="0"/>
        <v>32</v>
      </c>
      <c r="C36" s="318" t="str">
        <f>INDEX(DummyStandings!$B$5:$BT$48,MATCH(AltSeeding!$B36,DummyStandings!$BT$5:$BT$48,0),2)</f>
        <v>University of Richardsburg</v>
      </c>
      <c r="E36" s="308">
        <f t="shared" si="1"/>
        <v>32</v>
      </c>
      <c r="F36" s="309" t="str">
        <f>INDEX(DummyStandings!$B$5:$BR$48,MATCH(AltSeeding!$E36,DummyStandings!$BQ$5:$BQ$48,0),2)</f>
        <v>Stoneshore College</v>
      </c>
    </row>
    <row r="37" spans="2:6" ht="11.25" customHeight="1">
      <c r="B37" s="317">
        <f t="shared" si="0"/>
        <v>33</v>
      </c>
      <c r="C37" s="318" t="str">
        <f>INDEX(DummyStandings!$B$5:$BT$48,MATCH(AltSeeding!$B37,DummyStandings!$BT$5:$BT$48,0),2)</f>
        <v>University of Olympia</v>
      </c>
      <c r="E37" s="308">
        <f t="shared" si="1"/>
        <v>33</v>
      </c>
      <c r="F37" s="309" t="str">
        <f>INDEX(DummyStandings!$B$5:$BR$48,MATCH(AltSeeding!$E37,DummyStandings!$BQ$5:$BQ$48,0),2)</f>
        <v>Northern Dinagat State University</v>
      </c>
    </row>
    <row r="38" spans="2:6" ht="11.25" customHeight="1">
      <c r="B38" s="317">
        <f t="shared" si="0"/>
        <v>34</v>
      </c>
      <c r="C38" s="318" t="str">
        <f>INDEX(DummyStandings!$B$5:$BT$48,MATCH(AltSeeding!$B38,DummyStandings!$BT$5:$BT$48,0),2)</f>
        <v>Northern Dinagat State University</v>
      </c>
      <c r="E38" s="308">
        <f t="shared" si="1"/>
        <v>34</v>
      </c>
      <c r="F38" s="309" t="str">
        <f>INDEX(DummyStandings!$B$5:$BR$48,MATCH(AltSeeding!$E38,DummyStandings!$BQ$5:$BQ$48,0),2)</f>
        <v>Netteingen Tech</v>
      </c>
    </row>
    <row r="39" spans="2:6" ht="11.25" customHeight="1">
      <c r="B39" s="317">
        <f t="shared" si="0"/>
        <v>35</v>
      </c>
      <c r="C39" s="318" t="str">
        <f>INDEX(DummyStandings!$B$5:$BT$48,MATCH(AltSeeding!$B39,DummyStandings!$BT$5:$BT$48,0),2)</f>
        <v>Walterton University</v>
      </c>
      <c r="E39" s="308">
        <f t="shared" si="1"/>
        <v>35</v>
      </c>
      <c r="F39" s="309" t="str">
        <f>INDEX(DummyStandings!$B$5:$BR$48,MATCH(AltSeeding!$E39,DummyStandings!$BQ$5:$BQ$48,0),2)</f>
        <v>University of Nobelius</v>
      </c>
    </row>
    <row r="40" spans="2:6" ht="11.25" customHeight="1">
      <c r="B40" s="317">
        <f t="shared" si="0"/>
        <v>36</v>
      </c>
      <c r="C40" s="318" t="str">
        <f>INDEX(DummyStandings!$B$5:$BT$48,MATCH(AltSeeding!$B40,DummyStandings!$BT$5:$BT$48,0),2)</f>
        <v>University of Nobelius</v>
      </c>
      <c r="E40" s="308">
        <f t="shared" si="1"/>
        <v>36</v>
      </c>
      <c r="F40" s="309" t="str">
        <f>INDEX(DummyStandings!$B$5:$BR$48,MATCH(AltSeeding!$E40,DummyStandings!$BQ$5:$BQ$48,0),2)</f>
        <v>University of Richardsburg</v>
      </c>
    </row>
    <row r="41" spans="2:6" ht="11.25" customHeight="1">
      <c r="B41" s="317">
        <f t="shared" si="0"/>
        <v>37</v>
      </c>
      <c r="C41" s="318" t="str">
        <f>INDEX(DummyStandings!$B$5:$BT$48,MATCH(AltSeeding!$B41,DummyStandings!$BT$5:$BT$48,0),2)</f>
        <v>Netteingen Tech</v>
      </c>
      <c r="E41" s="308">
        <f t="shared" si="1"/>
        <v>37</v>
      </c>
      <c r="F41" s="309" t="str">
        <f>INDEX(DummyStandings!$B$5:$BR$48,MATCH(AltSeeding!$E41,DummyStandings!$BQ$5:$BQ$48,0),2)</f>
        <v>University of Olympia</v>
      </c>
    </row>
    <row r="42" spans="2:6" ht="11.25" customHeight="1">
      <c r="B42" s="317">
        <f t="shared" si="0"/>
        <v>38</v>
      </c>
      <c r="C42" s="318" t="str">
        <f>INDEX(DummyStandings!$B$5:$BT$48,MATCH(AltSeeding!$B42,DummyStandings!$BT$5:$BT$48,0),2)</f>
        <v>The Academy of Space</v>
      </c>
      <c r="E42" s="308">
        <f t="shared" si="1"/>
        <v>38</v>
      </c>
      <c r="F42" s="309" t="str">
        <f>INDEX(DummyStandings!$B$5:$BR$48,MATCH(AltSeeding!$E42,DummyStandings!$BQ$5:$BQ$48,0),2)</f>
        <v>The Academy of Space</v>
      </c>
    </row>
    <row r="43" spans="2:6" ht="11.25" customHeight="1">
      <c r="B43" s="317">
        <f t="shared" si="0"/>
        <v>39</v>
      </c>
      <c r="C43" s="318" t="str">
        <f>INDEX(DummyStandings!$B$5:$BT$48,MATCH(AltSeeding!$B43,DummyStandings!$BT$5:$BT$48,0),2)</f>
        <v>Relkul Setta State University</v>
      </c>
      <c r="E43" s="308">
        <f t="shared" si="1"/>
        <v>39</v>
      </c>
      <c r="F43" s="309" t="str">
        <f>INDEX(DummyStandings!$B$5:$BR$48,MATCH(AltSeeding!$E43,DummyStandings!$BQ$5:$BQ$48,0),2)</f>
        <v>Relkul Setta State University</v>
      </c>
    </row>
    <row r="44" spans="2:6" ht="11.25" customHeight="1" thickBot="1">
      <c r="B44" s="319">
        <f t="shared" si="0"/>
        <v>40</v>
      </c>
      <c r="C44" s="320" t="str">
        <f>INDEX(DummyStandings!$B$5:$BT$48,MATCH(AltSeeding!$B44,DummyStandings!$BT$5:$BT$48,0),2)</f>
        <v>Hudson College</v>
      </c>
      <c r="E44" s="311">
        <f t="shared" si="1"/>
        <v>40</v>
      </c>
      <c r="F44" s="312" t="str">
        <f>INDEX(DummyStandings!$B$5:$BR$48,MATCH(AltSeeding!$E44,DummyStandings!$BQ$5:$BQ$48,0),2)</f>
        <v>Hudson College</v>
      </c>
    </row>
    <row r="45" spans="2:6" ht="11.25">
      <c r="B45" s="60"/>
      <c r="C45" s="59"/>
      <c r="E45" s="60"/>
      <c r="F45" s="59"/>
    </row>
    <row r="46" spans="2:6" ht="11.25">
      <c r="B46" s="60"/>
      <c r="C46" s="59"/>
      <c r="E46" s="60"/>
      <c r="F46" s="59"/>
    </row>
    <row r="47" spans="2:6" ht="11.25">
      <c r="B47" s="60"/>
      <c r="C47" s="59"/>
      <c r="E47" s="60"/>
      <c r="F47" s="59"/>
    </row>
    <row r="48" spans="2:6" ht="11.25">
      <c r="B48" s="60"/>
      <c r="C48" s="59"/>
      <c r="E48" s="60"/>
      <c r="F48" s="59"/>
    </row>
    <row r="49" spans="2:5" s="59" customFormat="1" ht="11.25">
      <c r="B49" s="60"/>
      <c r="E49" s="60"/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48"/>
  <sheetViews>
    <sheetView workbookViewId="0" topLeftCell="A1">
      <selection activeCell="A1" sqref="A1:IV16384"/>
    </sheetView>
  </sheetViews>
  <sheetFormatPr defaultColWidth="9.140625" defaultRowHeight="12.75"/>
  <cols>
    <col min="1" max="1" width="1.421875" style="48" customWidth="1"/>
    <col min="2" max="2" width="4.28125" style="48" customWidth="1"/>
    <col min="3" max="3" width="28.57421875" style="48" customWidth="1"/>
    <col min="4" max="4" width="5.7109375" style="71" customWidth="1"/>
    <col min="5" max="6" width="5.7109375" style="48" customWidth="1"/>
    <col min="7" max="7" width="4.28125" style="48" customWidth="1"/>
    <col min="8" max="8" width="28.57421875" style="48" customWidth="1"/>
    <col min="9" max="9" width="5.7109375" style="71" customWidth="1"/>
    <col min="10" max="11" width="5.7109375" style="48" customWidth="1"/>
    <col min="12" max="12" width="4.28125" style="48" customWidth="1"/>
    <col min="13" max="13" width="28.57421875" style="48" customWidth="1"/>
    <col min="14" max="14" width="5.7109375" style="71" customWidth="1"/>
    <col min="15" max="16" width="5.7109375" style="48" customWidth="1"/>
    <col min="17" max="17" width="4.28125" style="48" customWidth="1"/>
    <col min="18" max="18" width="28.57421875" style="48" customWidth="1"/>
    <col min="19" max="19" width="5.7109375" style="71" customWidth="1"/>
    <col min="20" max="21" width="5.7109375" style="48" customWidth="1"/>
    <col min="22" max="22" width="1.421875" style="48" customWidth="1"/>
    <col min="23" max="23" width="4.28125" style="48" customWidth="1"/>
    <col min="24" max="24" width="28.57421875" style="48" customWidth="1"/>
    <col min="25" max="25" width="1.421875" style="48" customWidth="1"/>
    <col min="26" max="16384" width="9.140625" style="71" customWidth="1"/>
  </cols>
  <sheetData>
    <row r="1" ht="7.5" customHeight="1" thickBot="1"/>
    <row r="2" spans="2:25" ht="6.75" customHeight="1" thickBot="1">
      <c r="B2" s="369">
        <v>1</v>
      </c>
      <c r="C2" s="365" t="str">
        <f>INDEX(Seeding!$B$5:$E$44,MATCH(Playoffs!B2,Seeding!$B$5:$B$44,0),2)</f>
        <v>University of Port Salem</v>
      </c>
      <c r="D2" s="367"/>
      <c r="E2" s="279"/>
      <c r="F2" s="54"/>
      <c r="G2" s="54"/>
      <c r="H2" s="54"/>
      <c r="I2" s="280"/>
      <c r="J2" s="54"/>
      <c r="K2" s="54"/>
      <c r="L2" s="54"/>
      <c r="M2" s="54"/>
      <c r="N2" s="280"/>
      <c r="O2" s="54"/>
      <c r="P2" s="54"/>
      <c r="Q2" s="54"/>
      <c r="R2" s="54"/>
      <c r="S2" s="280"/>
      <c r="T2" s="54"/>
      <c r="U2" s="54"/>
      <c r="V2" s="54"/>
      <c r="W2" s="54"/>
      <c r="X2" s="54"/>
      <c r="Y2" s="54"/>
    </row>
    <row r="3" spans="2:25" ht="11.25" customHeight="1" thickBot="1">
      <c r="B3" s="378"/>
      <c r="C3" s="375"/>
      <c r="D3" s="379"/>
      <c r="E3" s="281"/>
      <c r="F3" s="279"/>
      <c r="G3" s="369">
        <f>IF(D2="","",IF(D2&gt;D4,B2,B4))</f>
      </c>
      <c r="H3" s="365">
        <f>IF(ISNA(INDEX(Seeding!$B$5:$E$44,MATCH(Playoffs!G3,Seeding!$B$5:$B$44,0),2)),"",INDEX(Seeding!$B$5:$E$44,MATCH(Playoffs!G3,Seeding!$B$5:$B$44,0),2))</f>
      </c>
      <c r="I3" s="367"/>
      <c r="J3" s="279"/>
      <c r="K3" s="54"/>
      <c r="L3" s="54"/>
      <c r="M3" s="54"/>
      <c r="N3" s="280"/>
      <c r="O3" s="54"/>
      <c r="P3" s="54"/>
      <c r="Q3" s="54"/>
      <c r="R3" s="54"/>
      <c r="S3" s="280"/>
      <c r="T3" s="54"/>
      <c r="U3" s="54"/>
      <c r="V3" s="54"/>
      <c r="W3" s="54"/>
      <c r="X3" s="54"/>
      <c r="Y3" s="54"/>
    </row>
    <row r="4" spans="2:25" ht="11.25" customHeight="1" thickBot="1">
      <c r="B4" s="369">
        <v>16</v>
      </c>
      <c r="C4" s="365" t="str">
        <f>INDEX(Seeding!$B$5:$E$44,MATCH(Playoffs!B4,Seeding!$B$5:$B$44,0),2)</f>
        <v>Alex Util College</v>
      </c>
      <c r="D4" s="380"/>
      <c r="E4" s="282"/>
      <c r="F4" s="54"/>
      <c r="G4" s="370"/>
      <c r="H4" s="366"/>
      <c r="I4" s="368"/>
      <c r="J4" s="281"/>
      <c r="K4" s="54"/>
      <c r="L4" s="54"/>
      <c r="M4" s="54"/>
      <c r="N4" s="280"/>
      <c r="O4" s="54"/>
      <c r="P4" s="54"/>
      <c r="Q4" s="54"/>
      <c r="R4" s="54"/>
      <c r="S4" s="280"/>
      <c r="T4" s="54"/>
      <c r="U4" s="54"/>
      <c r="V4" s="54"/>
      <c r="W4" s="54"/>
      <c r="X4" s="54"/>
      <c r="Y4" s="54"/>
    </row>
    <row r="5" spans="2:25" ht="7.5" customHeight="1" thickBot="1">
      <c r="B5" s="370"/>
      <c r="C5" s="366"/>
      <c r="D5" s="381"/>
      <c r="E5" s="54"/>
      <c r="F5" s="54"/>
      <c r="G5" s="54"/>
      <c r="H5" s="52"/>
      <c r="I5" s="280"/>
      <c r="J5" s="283"/>
      <c r="K5" s="54"/>
      <c r="L5" s="54"/>
      <c r="M5" s="54"/>
      <c r="N5" s="280"/>
      <c r="O5" s="54"/>
      <c r="P5" s="54"/>
      <c r="Q5" s="54"/>
      <c r="R5" s="54"/>
      <c r="S5" s="280"/>
      <c r="T5" s="54"/>
      <c r="U5" s="54"/>
      <c r="V5" s="54"/>
      <c r="W5" s="54"/>
      <c r="X5" s="54"/>
      <c r="Y5" s="54"/>
    </row>
    <row r="6" spans="2:25" ht="12.75" customHeight="1">
      <c r="B6" s="34"/>
      <c r="C6" s="34" t="str">
        <f>"@ "&amp;INDEX(Teams!$B$5:$F$45,MATCH(Playoffs!C2,Teams!$B$5:$B$45,0),3)</f>
        <v>@ ATD Park</v>
      </c>
      <c r="D6" s="284"/>
      <c r="E6" s="54"/>
      <c r="F6" s="54"/>
      <c r="G6" s="54"/>
      <c r="H6" s="364">
        <f>IF(ISNA(INDEX(Teams!$B$5:$F$45,MATCH(INDEX(Seeding!$B$5:$C$44,MATCH(MIN(Playoffs!G3,Playoffs!G9),Seeding!$B$5:$B$44,0),3),Teams!$B$5:$B$45,0),2)),"","@ "&amp;INDEX(Teams!$B$5:$F$45,MATCH(INDEX(Seeding!$B$5:$C$44,MATCH(MIN(Playoffs!G3,Playoffs!G9),Seeding!$B$5:$B$44,0),3),Teams!$B$5:$B$40,0),2))</f>
      </c>
      <c r="I6" s="280"/>
      <c r="J6" s="283"/>
      <c r="K6" s="279"/>
      <c r="L6" s="369">
        <f>IF(I3="","",IF(I3&gt;I9,G3,G9))</f>
      </c>
      <c r="M6" s="365">
        <f>IF(ISNA(INDEX(Seeding!$B$5:$E$44,MATCH(Playoffs!L6,Seeding!$B$5:$B$44,0),2)),"",INDEX(Seeding!$B$5:$E$44,MATCH(Playoffs!L6,Seeding!$B$5:$B$44,0),2))</f>
      </c>
      <c r="N6" s="367"/>
      <c r="O6" s="279"/>
      <c r="P6" s="54"/>
      <c r="Q6" s="54"/>
      <c r="R6" s="54"/>
      <c r="S6" s="280"/>
      <c r="T6" s="54"/>
      <c r="U6" s="54"/>
      <c r="V6" s="54"/>
      <c r="W6" s="54"/>
      <c r="X6" s="54"/>
      <c r="Y6" s="54"/>
    </row>
    <row r="7" spans="2:25" ht="11.25" customHeight="1" thickBot="1">
      <c r="B7" s="34"/>
      <c r="C7" s="34"/>
      <c r="D7" s="284"/>
      <c r="E7" s="54"/>
      <c r="F7" s="54"/>
      <c r="G7" s="54"/>
      <c r="H7" s="364"/>
      <c r="I7" s="280"/>
      <c r="J7" s="283"/>
      <c r="K7" s="54"/>
      <c r="L7" s="370"/>
      <c r="M7" s="366"/>
      <c r="N7" s="368"/>
      <c r="O7" s="281"/>
      <c r="P7" s="54"/>
      <c r="Q7" s="54"/>
      <c r="R7" s="54"/>
      <c r="S7" s="280"/>
      <c r="T7" s="54"/>
      <c r="U7" s="54"/>
      <c r="V7" s="54"/>
      <c r="W7" s="54"/>
      <c r="X7" s="54"/>
      <c r="Y7" s="54"/>
    </row>
    <row r="8" spans="2:25" ht="7.5" customHeight="1" thickBot="1">
      <c r="B8" s="369">
        <v>8</v>
      </c>
      <c r="C8" s="365" t="str">
        <f>INDEX(Seeding!$B$5:$E$44,MATCH(Playoffs!B8,Seeding!$B$5:$B$44,0),2)</f>
        <v>University of Utica</v>
      </c>
      <c r="D8" s="367"/>
      <c r="E8" s="279"/>
      <c r="F8" s="54"/>
      <c r="G8" s="54"/>
      <c r="H8" s="54"/>
      <c r="I8" s="280"/>
      <c r="J8" s="283"/>
      <c r="K8" s="54"/>
      <c r="L8" s="54"/>
      <c r="M8" s="54"/>
      <c r="N8" s="280"/>
      <c r="O8" s="283"/>
      <c r="P8" s="54"/>
      <c r="Q8" s="54"/>
      <c r="R8" s="54"/>
      <c r="S8" s="280"/>
      <c r="T8" s="54"/>
      <c r="U8" s="54"/>
      <c r="V8" s="54"/>
      <c r="W8" s="54"/>
      <c r="X8" s="54"/>
      <c r="Y8" s="54"/>
    </row>
    <row r="9" spans="2:25" ht="11.25" customHeight="1" thickBot="1">
      <c r="B9" s="378"/>
      <c r="C9" s="375"/>
      <c r="D9" s="379"/>
      <c r="E9" s="281"/>
      <c r="F9" s="279"/>
      <c r="G9" s="369">
        <f>IF(D8="","",IF(D8&gt;D10,B8,B10))</f>
      </c>
      <c r="H9" s="365">
        <f>IF(ISNA(INDEX(Seeding!$B$5:$E$44,MATCH(Playoffs!G9,Seeding!$B$5:$B$44,0),2)),"",INDEX(Seeding!$B$5:$E$44,MATCH(Playoffs!G9,Seeding!$B$5:$B$44,0),2))</f>
      </c>
      <c r="I9" s="367"/>
      <c r="J9" s="282"/>
      <c r="K9" s="54"/>
      <c r="L9" s="54"/>
      <c r="M9" s="54"/>
      <c r="N9" s="280"/>
      <c r="O9" s="283"/>
      <c r="P9" s="54"/>
      <c r="Q9" s="54"/>
      <c r="R9" s="54"/>
      <c r="S9" s="280"/>
      <c r="T9" s="54"/>
      <c r="U9" s="54"/>
      <c r="V9" s="54"/>
      <c r="W9" s="54"/>
      <c r="X9" s="54"/>
      <c r="Y9" s="54"/>
    </row>
    <row r="10" spans="2:25" ht="11.25" customHeight="1" thickBot="1">
      <c r="B10" s="369">
        <v>9</v>
      </c>
      <c r="C10" s="365" t="str">
        <f>INDEX(Seeding!$B$5:$E$44,MATCH(Playoffs!B10,Seeding!$B$5:$B$44,0),2)</f>
        <v>Bugny A&amp;M University</v>
      </c>
      <c r="D10" s="367"/>
      <c r="E10" s="282"/>
      <c r="F10" s="54"/>
      <c r="G10" s="370"/>
      <c r="H10" s="366"/>
      <c r="I10" s="368"/>
      <c r="J10" s="54"/>
      <c r="K10" s="54"/>
      <c r="L10" s="54"/>
      <c r="M10" s="54"/>
      <c r="N10" s="280"/>
      <c r="O10" s="283"/>
      <c r="P10" s="54"/>
      <c r="Q10" s="54"/>
      <c r="R10" s="54"/>
      <c r="S10" s="280"/>
      <c r="T10" s="54"/>
      <c r="U10" s="54"/>
      <c r="V10" s="54"/>
      <c r="W10" s="54"/>
      <c r="X10" s="54"/>
      <c r="Y10" s="54"/>
    </row>
    <row r="11" spans="2:25" ht="7.5" customHeight="1" thickBot="1">
      <c r="B11" s="370"/>
      <c r="C11" s="366"/>
      <c r="D11" s="368"/>
      <c r="E11" s="54"/>
      <c r="F11" s="54"/>
      <c r="G11" s="54"/>
      <c r="H11" s="52"/>
      <c r="I11" s="280"/>
      <c r="J11" s="54"/>
      <c r="K11" s="54"/>
      <c r="L11" s="54"/>
      <c r="M11" s="364">
        <f>IF(ISNA(INDEX(Teams!$B$5:$F$45,MATCH(INDEX(Seeding!$B$5:$C$44,MATCH(MIN(L6,L18),Seeding!$B$5:$B$44,0),3),Teams!$B$5:$B$45,0),2)),"","@ "&amp;INDEX(Teams!$B$5:$F$45,MATCH(INDEX(Seeding!$B$5:$C$44,MATCH(MIN(L6,L18),Seeding!$B$5:$B$44,0),3),Teams!$B$5:$B$40,0),2))</f>
      </c>
      <c r="N11" s="280"/>
      <c r="O11" s="283"/>
      <c r="P11" s="54"/>
      <c r="Q11" s="54"/>
      <c r="R11" s="54"/>
      <c r="S11" s="280"/>
      <c r="T11" s="54"/>
      <c r="U11" s="54"/>
      <c r="V11" s="54"/>
      <c r="W11" s="54"/>
      <c r="X11" s="54"/>
      <c r="Y11" s="54"/>
    </row>
    <row r="12" spans="2:25" ht="12.75" customHeight="1">
      <c r="B12" s="54"/>
      <c r="C12" s="34" t="str">
        <f>"@ "&amp;INDEX(Teams!$B$5:$F$45,MATCH(Playoffs!C8,Teams!$B$5:$B$45,0),3)</f>
        <v>@ Martin Connors Memorial Field</v>
      </c>
      <c r="D12" s="280"/>
      <c r="E12" s="54"/>
      <c r="F12" s="54"/>
      <c r="G12" s="54"/>
      <c r="H12" s="285"/>
      <c r="I12" s="280"/>
      <c r="J12" s="54"/>
      <c r="K12" s="54"/>
      <c r="L12" s="54"/>
      <c r="M12" s="364"/>
      <c r="N12" s="280"/>
      <c r="O12" s="283"/>
      <c r="P12" s="279"/>
      <c r="Q12" s="369">
        <f>IF(N6="","",IF(N6&gt;N18,L6,L18))</f>
      </c>
      <c r="R12" s="365">
        <f>IF(ISNA(INDEX(Seeding!$B$5:$E$39,MATCH(Playoffs!Q12,Seeding!$B$5:$B$39,0),2)),"",INDEX(Seeding!$B$5:$E$39,MATCH(Playoffs!Q12,Seeding!$B$5:$B$39,0),2))</f>
      </c>
      <c r="S12" s="367"/>
      <c r="T12" s="279"/>
      <c r="U12" s="54"/>
      <c r="V12" s="54"/>
      <c r="W12" s="54"/>
      <c r="X12" s="54"/>
      <c r="Y12" s="54"/>
    </row>
    <row r="13" spans="2:25" ht="11.25" customHeight="1" thickBot="1">
      <c r="B13" s="54"/>
      <c r="C13" s="54"/>
      <c r="D13" s="280"/>
      <c r="E13" s="54"/>
      <c r="F13" s="54"/>
      <c r="G13" s="54"/>
      <c r="H13" s="285"/>
      <c r="I13" s="280"/>
      <c r="J13" s="54"/>
      <c r="K13" s="54"/>
      <c r="L13" s="54"/>
      <c r="M13" s="364"/>
      <c r="N13" s="280"/>
      <c r="O13" s="283"/>
      <c r="P13" s="54"/>
      <c r="Q13" s="370"/>
      <c r="R13" s="366"/>
      <c r="S13" s="368"/>
      <c r="T13" s="281"/>
      <c r="U13" s="54"/>
      <c r="V13" s="54"/>
      <c r="W13" s="54"/>
      <c r="X13" s="54"/>
      <c r="Y13" s="54"/>
    </row>
    <row r="14" spans="2:25" ht="7.5" customHeight="1" thickBot="1">
      <c r="B14" s="369">
        <v>3</v>
      </c>
      <c r="C14" s="365" t="str">
        <f>INDEX(Seeding!$B$5:$E$44,MATCH(Playoffs!B14,Seeding!$B$5:$B$44,0),2)</f>
        <v>Ramusok Capital University</v>
      </c>
      <c r="D14" s="367"/>
      <c r="E14" s="279"/>
      <c r="F14" s="54"/>
      <c r="G14" s="54"/>
      <c r="H14" s="54"/>
      <c r="I14" s="280"/>
      <c r="J14" s="54"/>
      <c r="K14" s="54"/>
      <c r="L14" s="54"/>
      <c r="M14" s="54"/>
      <c r="N14" s="280"/>
      <c r="O14" s="283"/>
      <c r="P14" s="54"/>
      <c r="Q14" s="54"/>
      <c r="R14" s="54"/>
      <c r="S14" s="280"/>
      <c r="T14" s="283"/>
      <c r="U14" s="54"/>
      <c r="V14" s="54"/>
      <c r="W14" s="54"/>
      <c r="X14" s="54"/>
      <c r="Y14" s="54"/>
    </row>
    <row r="15" spans="2:25" ht="11.25" customHeight="1" thickBot="1">
      <c r="B15" s="378"/>
      <c r="C15" s="375"/>
      <c r="D15" s="379"/>
      <c r="E15" s="281"/>
      <c r="F15" s="279"/>
      <c r="G15" s="369">
        <f>IF(D14="","",IF(D14&gt;D16,B14,B16))</f>
      </c>
      <c r="H15" s="365">
        <f>IF(ISNA(INDEX(Seeding!$B$5:$E$44,MATCH(Playoffs!G15,Seeding!$B$5:$B$44,0),2)),"",INDEX(Seeding!$B$5:$E$44,MATCH(Playoffs!G15,Seeding!$B$5:$B$44,0),2))</f>
      </c>
      <c r="I15" s="367"/>
      <c r="J15" s="279"/>
      <c r="K15" s="54"/>
      <c r="L15" s="54"/>
      <c r="M15" s="54"/>
      <c r="N15" s="280"/>
      <c r="O15" s="283"/>
      <c r="P15" s="54"/>
      <c r="Q15" s="54"/>
      <c r="R15" s="54"/>
      <c r="S15" s="280"/>
      <c r="T15" s="283"/>
      <c r="U15" s="54"/>
      <c r="V15" s="54"/>
      <c r="W15" s="54"/>
      <c r="X15" s="54"/>
      <c r="Y15" s="54"/>
    </row>
    <row r="16" spans="2:25" ht="11.25" customHeight="1" thickBot="1">
      <c r="B16" s="369">
        <v>13</v>
      </c>
      <c r="C16" s="365" t="str">
        <f>INDEX(Seeding!$B$5:$E$44,MATCH(Playoffs!B16,Seeding!$B$5:$B$44,0),2)</f>
        <v>University of St. John's Island</v>
      </c>
      <c r="D16" s="367"/>
      <c r="E16" s="282"/>
      <c r="F16" s="54"/>
      <c r="G16" s="370"/>
      <c r="H16" s="366"/>
      <c r="I16" s="368"/>
      <c r="J16" s="281"/>
      <c r="K16" s="54"/>
      <c r="L16" s="54"/>
      <c r="M16" s="54"/>
      <c r="N16" s="280"/>
      <c r="O16" s="283"/>
      <c r="P16" s="54"/>
      <c r="Q16" s="54"/>
      <c r="R16" s="54"/>
      <c r="S16" s="280"/>
      <c r="T16" s="283"/>
      <c r="U16" s="54"/>
      <c r="V16" s="54"/>
      <c r="W16" s="54"/>
      <c r="X16" s="54"/>
      <c r="Y16" s="54"/>
    </row>
    <row r="17" spans="2:25" ht="7.5" customHeight="1" thickBot="1">
      <c r="B17" s="370"/>
      <c r="C17" s="366"/>
      <c r="D17" s="368"/>
      <c r="E17" s="54"/>
      <c r="F17" s="54"/>
      <c r="G17" s="54"/>
      <c r="H17" s="52"/>
      <c r="I17" s="280"/>
      <c r="J17" s="283"/>
      <c r="K17" s="54"/>
      <c r="L17" s="54"/>
      <c r="M17" s="54"/>
      <c r="N17" s="280"/>
      <c r="O17" s="283"/>
      <c r="P17" s="54"/>
      <c r="Q17" s="54"/>
      <c r="R17" s="54"/>
      <c r="S17" s="280"/>
      <c r="T17" s="283"/>
      <c r="U17" s="54"/>
      <c r="V17" s="54"/>
      <c r="W17" s="54"/>
      <c r="X17" s="54"/>
      <c r="Y17" s="54"/>
    </row>
    <row r="18" spans="2:25" ht="12.75" customHeight="1">
      <c r="B18" s="34"/>
      <c r="C18" s="34" t="str">
        <f>"@ "&amp;INDEX(Teams!$B$5:$F$45,MATCH(Playoffs!C14,Teams!$B$5:$B$45,0),3)</f>
        <v>@ Capital Coliseum</v>
      </c>
      <c r="D18" s="284"/>
      <c r="E18" s="54"/>
      <c r="F18" s="54"/>
      <c r="G18" s="54"/>
      <c r="H18" s="364">
        <f>IF(ISNA(INDEX(Teams!$B$5:$F$45,MATCH(INDEX(Seeding!$B$5:$C$44,MATCH(MIN(Playoffs!G15,Playoffs!G21),Seeding!$B$5:$B$44,0),3),Teams!$B$5:$B$45,0),2)),"","@ "&amp;INDEX(Teams!$B$5:$F$45,MATCH(INDEX(Seeding!$B$5:$C$44,MATCH(MIN(Playoffs!G15,Playoffs!G21),Seeding!$B$5:$B$44,0),3),Teams!$B$5:$B$40,0),2))</f>
      </c>
      <c r="I18" s="280"/>
      <c r="J18" s="283"/>
      <c r="K18" s="279"/>
      <c r="L18" s="369">
        <f>IF(I15="","",IF(I15&gt;I21,G15,G21))</f>
      </c>
      <c r="M18" s="365">
        <f>IF(ISNA(INDEX(Seeding!$B$5:$E$44,MATCH(Playoffs!L18,Seeding!$B$5:$B$44,0),2)),"",INDEX(Seeding!$B$5:$E$44,MATCH(Playoffs!L18,Seeding!$B$5:$B$44,0),2))</f>
      </c>
      <c r="N18" s="367"/>
      <c r="O18" s="282"/>
      <c r="P18" s="54"/>
      <c r="Q18" s="54"/>
      <c r="R18" s="54"/>
      <c r="S18" s="280"/>
      <c r="T18" s="283"/>
      <c r="U18" s="54"/>
      <c r="V18" s="54"/>
      <c r="W18" s="54"/>
      <c r="X18" s="54"/>
      <c r="Y18" s="54"/>
    </row>
    <row r="19" spans="2:25" ht="11.25" customHeight="1" thickBot="1">
      <c r="B19" s="34"/>
      <c r="C19" s="34"/>
      <c r="D19" s="284"/>
      <c r="E19" s="54"/>
      <c r="F19" s="54"/>
      <c r="G19" s="54"/>
      <c r="H19" s="364"/>
      <c r="I19" s="280"/>
      <c r="J19" s="283"/>
      <c r="K19" s="54"/>
      <c r="L19" s="370"/>
      <c r="M19" s="366"/>
      <c r="N19" s="368"/>
      <c r="O19" s="54"/>
      <c r="P19" s="54"/>
      <c r="Q19" s="54"/>
      <c r="R19" s="54"/>
      <c r="S19" s="280"/>
      <c r="T19" s="283"/>
      <c r="U19" s="54"/>
      <c r="V19" s="54"/>
      <c r="W19" s="54"/>
      <c r="X19" s="54"/>
      <c r="Y19" s="54"/>
    </row>
    <row r="20" spans="2:25" ht="7.5" customHeight="1" thickBot="1">
      <c r="B20" s="369">
        <v>5</v>
      </c>
      <c r="C20" s="365" t="str">
        <f>INDEX(Seeding!$B$5:$E$44,MATCH(Playoffs!B20,Seeding!$B$5:$B$44,0),2)</f>
        <v>Oklahoma City State University</v>
      </c>
      <c r="D20" s="367"/>
      <c r="E20" s="279"/>
      <c r="F20" s="54"/>
      <c r="G20" s="54"/>
      <c r="H20" s="54"/>
      <c r="I20" s="280"/>
      <c r="J20" s="283"/>
      <c r="K20" s="54"/>
      <c r="L20" s="54"/>
      <c r="M20" s="54"/>
      <c r="N20" s="280"/>
      <c r="O20" s="54"/>
      <c r="P20" s="54"/>
      <c r="Q20" s="54"/>
      <c r="R20" s="54"/>
      <c r="S20" s="280"/>
      <c r="T20" s="283"/>
      <c r="U20" s="54"/>
      <c r="V20" s="286"/>
      <c r="W20" s="287"/>
      <c r="X20" s="287"/>
      <c r="Y20" s="288"/>
    </row>
    <row r="21" spans="2:25" ht="11.25" customHeight="1" thickBot="1">
      <c r="B21" s="370"/>
      <c r="C21" s="375"/>
      <c r="D21" s="368"/>
      <c r="E21" s="281"/>
      <c r="F21" s="279"/>
      <c r="G21" s="369">
        <f>IF(D20="","",IF(D20&gt;D22,B20,B22))</f>
      </c>
      <c r="H21" s="365">
        <f>IF(ISNA(INDEX(Seeding!$B$5:$E$44,MATCH(Playoffs!G21,Seeding!$B$5:$B$44,0),2)),"",INDEX(Seeding!$B$5:$E$44,MATCH(Playoffs!G21,Seeding!$B$5:$B$44,0),2))</f>
      </c>
      <c r="I21" s="367"/>
      <c r="J21" s="282"/>
      <c r="K21" s="54"/>
      <c r="L21" s="54"/>
      <c r="M21" s="54"/>
      <c r="N21" s="280"/>
      <c r="O21" s="54"/>
      <c r="P21" s="54"/>
      <c r="Q21" s="54"/>
      <c r="R21" s="364" t="s">
        <v>286</v>
      </c>
      <c r="S21" s="280"/>
      <c r="T21" s="283"/>
      <c r="U21" s="54"/>
      <c r="V21" s="289"/>
      <c r="W21" s="372" t="s">
        <v>288</v>
      </c>
      <c r="X21" s="372"/>
      <c r="Y21" s="291"/>
    </row>
    <row r="22" spans="2:25" ht="11.25" customHeight="1" thickBot="1">
      <c r="B22" s="376">
        <v>12</v>
      </c>
      <c r="C22" s="365" t="str">
        <f>INDEX(Seeding!$B$5:$E$44,MATCH(Playoffs!B22,Seeding!$B$5:$B$44,0),2)</f>
        <v>Saugeais State University</v>
      </c>
      <c r="D22" s="377"/>
      <c r="E22" s="282"/>
      <c r="F22" s="54"/>
      <c r="G22" s="370"/>
      <c r="H22" s="366"/>
      <c r="I22" s="368"/>
      <c r="J22" s="54"/>
      <c r="K22" s="54"/>
      <c r="L22" s="54"/>
      <c r="M22" s="54"/>
      <c r="N22" s="280"/>
      <c r="O22" s="54"/>
      <c r="P22" s="54"/>
      <c r="Q22" s="54"/>
      <c r="R22" s="364"/>
      <c r="S22" s="280"/>
      <c r="T22" s="283"/>
      <c r="U22" s="54"/>
      <c r="V22" s="289"/>
      <c r="W22" s="372"/>
      <c r="X22" s="372"/>
      <c r="Y22" s="291"/>
    </row>
    <row r="23" spans="2:25" ht="7.5" customHeight="1" thickBot="1">
      <c r="B23" s="370"/>
      <c r="C23" s="366"/>
      <c r="D23" s="368"/>
      <c r="E23" s="54"/>
      <c r="F23" s="54"/>
      <c r="G23" s="54"/>
      <c r="H23" s="52"/>
      <c r="I23" s="280"/>
      <c r="J23" s="54"/>
      <c r="K23" s="54"/>
      <c r="L23" s="54"/>
      <c r="M23" s="54"/>
      <c r="N23" s="280"/>
      <c r="O23" s="54"/>
      <c r="P23" s="54"/>
      <c r="Q23" s="54"/>
      <c r="R23" s="371" t="s">
        <v>287</v>
      </c>
      <c r="S23" s="280"/>
      <c r="T23" s="283"/>
      <c r="U23" s="54"/>
      <c r="V23" s="289"/>
      <c r="W23" s="290"/>
      <c r="X23" s="290"/>
      <c r="Y23" s="291"/>
    </row>
    <row r="24" spans="2:25" ht="12.75" customHeight="1">
      <c r="B24" s="54"/>
      <c r="C24" s="34" t="str">
        <f>"@ "&amp;INDEX(Teams!$B$5:$F$45,MATCH(Playoffs!C20,Teams!$B$5:$B$45,0),3)</f>
        <v>@ Orange Bowl</v>
      </c>
      <c r="D24" s="280"/>
      <c r="E24" s="54"/>
      <c r="F24" s="54"/>
      <c r="G24" s="54"/>
      <c r="H24" s="285"/>
      <c r="I24" s="280"/>
      <c r="J24" s="54"/>
      <c r="K24" s="54"/>
      <c r="L24" s="54"/>
      <c r="M24" s="54"/>
      <c r="N24" s="280"/>
      <c r="O24" s="54"/>
      <c r="P24" s="54"/>
      <c r="Q24" s="54"/>
      <c r="R24" s="364"/>
      <c r="S24" s="280"/>
      <c r="T24" s="283"/>
      <c r="U24" s="279"/>
      <c r="V24" s="292"/>
      <c r="W24" s="369">
        <f>IF(S12="","",IF(S12&gt;S36,Q12,Q36))</f>
      </c>
      <c r="X24" s="365">
        <f>IF(ISNA(INDEX(Seeding!$B$5:$E$39,MATCH(Playoffs!W24,Seeding!$B$5:$B$39,0),2)),"",INDEX(Seeding!$B$5:$E$39,MATCH(Playoffs!W24,Seeding!$B$5:$B$39,0),2))</f>
      </c>
      <c r="Y24" s="291"/>
    </row>
    <row r="25" spans="2:25" ht="11.25" customHeight="1" thickBot="1">
      <c r="B25" s="54"/>
      <c r="C25" s="54"/>
      <c r="D25" s="280"/>
      <c r="E25" s="54"/>
      <c r="F25" s="54"/>
      <c r="G25" s="54"/>
      <c r="H25" s="54"/>
      <c r="I25" s="280"/>
      <c r="J25" s="54"/>
      <c r="K25" s="54"/>
      <c r="L25" s="54"/>
      <c r="M25" s="54"/>
      <c r="N25" s="280"/>
      <c r="O25" s="54"/>
      <c r="P25" s="54"/>
      <c r="Q25" s="54"/>
      <c r="R25" s="364"/>
      <c r="S25" s="280"/>
      <c r="T25" s="283"/>
      <c r="U25" s="54"/>
      <c r="V25" s="292"/>
      <c r="W25" s="370"/>
      <c r="X25" s="366"/>
      <c r="Y25" s="291"/>
    </row>
    <row r="26" spans="2:25" ht="7.5" customHeight="1" thickBot="1">
      <c r="B26" s="369">
        <v>4</v>
      </c>
      <c r="C26" s="365" t="str">
        <f>INDEX(Seeding!$B$5:$E$44,MATCH(Playoffs!B26,Seeding!$B$5:$B$44,0),2)</f>
        <v>University of Alzburg-Dyka</v>
      </c>
      <c r="D26" s="367"/>
      <c r="E26" s="279"/>
      <c r="F26" s="54"/>
      <c r="G26" s="54"/>
      <c r="H26" s="54"/>
      <c r="I26" s="280"/>
      <c r="J26" s="54"/>
      <c r="K26" s="54"/>
      <c r="L26" s="54"/>
      <c r="M26" s="54"/>
      <c r="N26" s="280"/>
      <c r="O26" s="54"/>
      <c r="P26" s="54"/>
      <c r="Q26" s="54"/>
      <c r="R26" s="364"/>
      <c r="S26" s="280"/>
      <c r="T26" s="283"/>
      <c r="U26" s="54"/>
      <c r="V26" s="293"/>
      <c r="W26" s="294"/>
      <c r="X26" s="294"/>
      <c r="Y26" s="295"/>
    </row>
    <row r="27" spans="2:25" ht="11.25" customHeight="1" thickBot="1">
      <c r="B27" s="370"/>
      <c r="C27" s="375"/>
      <c r="D27" s="368"/>
      <c r="E27" s="281"/>
      <c r="F27" s="279"/>
      <c r="G27" s="369">
        <f>IF(D26="","",IF(D26&gt;D28,B26,B28))</f>
      </c>
      <c r="H27" s="365">
        <f>IF(ISNA(INDEX(Seeding!$B$5:$E$44,MATCH(Playoffs!G27,Seeding!$B$5:$B$44,0),2)),"",INDEX(Seeding!$B$5:$E$44,MATCH(Playoffs!G27,Seeding!$B$5:$B$44,0),2))</f>
      </c>
      <c r="I27" s="367"/>
      <c r="J27" s="279"/>
      <c r="K27" s="54"/>
      <c r="L27" s="54"/>
      <c r="M27" s="54"/>
      <c r="N27" s="280"/>
      <c r="O27" s="54"/>
      <c r="P27" s="54"/>
      <c r="Q27" s="54"/>
      <c r="R27" s="54"/>
      <c r="S27" s="280"/>
      <c r="T27" s="283"/>
      <c r="U27" s="54"/>
      <c r="V27" s="54"/>
      <c r="W27" s="54"/>
      <c r="X27" s="54"/>
      <c r="Y27" s="54"/>
    </row>
    <row r="28" spans="2:25" ht="11.25" customHeight="1" thickBot="1">
      <c r="B28" s="376">
        <v>14</v>
      </c>
      <c r="C28" s="365" t="str">
        <f>INDEX(Seeding!$B$5:$E$44,MATCH(Playoffs!B28,Seeding!$B$5:$B$44,0),2)</f>
        <v>Touffer University</v>
      </c>
      <c r="D28" s="377"/>
      <c r="E28" s="282"/>
      <c r="F28" s="54"/>
      <c r="G28" s="370"/>
      <c r="H28" s="366"/>
      <c r="I28" s="368"/>
      <c r="J28" s="281"/>
      <c r="K28" s="54"/>
      <c r="L28" s="54"/>
      <c r="M28" s="54"/>
      <c r="N28" s="280"/>
      <c r="O28" s="54"/>
      <c r="P28" s="54"/>
      <c r="Q28" s="54"/>
      <c r="R28" s="54"/>
      <c r="S28" s="280"/>
      <c r="T28" s="283"/>
      <c r="U28" s="54"/>
      <c r="V28" s="54"/>
      <c r="W28" s="54"/>
      <c r="X28" s="54"/>
      <c r="Y28" s="54"/>
    </row>
    <row r="29" spans="2:25" ht="7.5" customHeight="1" thickBot="1">
      <c r="B29" s="370"/>
      <c r="C29" s="366"/>
      <c r="D29" s="368"/>
      <c r="E29" s="54"/>
      <c r="F29" s="54"/>
      <c r="G29" s="54"/>
      <c r="H29" s="52"/>
      <c r="I29" s="280"/>
      <c r="J29" s="283"/>
      <c r="K29" s="54"/>
      <c r="L29" s="54"/>
      <c r="M29" s="54"/>
      <c r="N29" s="280"/>
      <c r="O29" s="54"/>
      <c r="P29" s="54"/>
      <c r="Q29" s="54"/>
      <c r="R29" s="54"/>
      <c r="S29" s="280"/>
      <c r="T29" s="283"/>
      <c r="U29" s="54"/>
      <c r="V29" s="54"/>
      <c r="W29" s="54"/>
      <c r="X29" s="54"/>
      <c r="Y29" s="54"/>
    </row>
    <row r="30" spans="2:25" ht="12.75" customHeight="1">
      <c r="B30" s="34"/>
      <c r="C30" s="34" t="str">
        <f>"@ "&amp;INDEX(Teams!$B$5:$F$45,MATCH(Playoffs!C26,Teams!$B$5:$B$45,0),3)</f>
        <v>@ Tiegemburg Park</v>
      </c>
      <c r="D30" s="284"/>
      <c r="E30" s="54"/>
      <c r="F30" s="54"/>
      <c r="G30" s="54"/>
      <c r="H30" s="364">
        <f>IF(ISNA(INDEX(Teams!$B$5:$F$45,MATCH(INDEX(Seeding!$B$5:$C$44,MATCH(MIN(Playoffs!G27,Playoffs!G33),Seeding!$B$5:$B$44,0),3),Teams!$B$5:$B$45,0),2)),"","@ "&amp;INDEX(Teams!$B$5:$F$45,MATCH(INDEX(Seeding!$B$5:$C$44,MATCH(MIN(Playoffs!G27,Playoffs!G33),Seeding!$B$5:$B$44,0),3),Teams!$B$5:$B$40,0),2))</f>
      </c>
      <c r="I30" s="280"/>
      <c r="J30" s="283"/>
      <c r="K30" s="279"/>
      <c r="L30" s="369">
        <f>IF(I27="","",IF(I27&gt;I33,G27,G33))</f>
      </c>
      <c r="M30" s="365">
        <f>IF(ISNA(INDEX(Seeding!$B$5:$E$44,MATCH(Playoffs!L30,Seeding!$B$5:$B$44,0),2)),"",INDEX(Seeding!$B$5:$E$44,MATCH(Playoffs!L30,Seeding!$B$5:$B$44,0),2))</f>
      </c>
      <c r="N30" s="367"/>
      <c r="O30" s="279"/>
      <c r="P30" s="54"/>
      <c r="Q30" s="54"/>
      <c r="R30" s="54"/>
      <c r="S30" s="280"/>
      <c r="T30" s="283"/>
      <c r="U30" s="54"/>
      <c r="V30" s="54"/>
      <c r="W30" s="54"/>
      <c r="X30" s="54"/>
      <c r="Y30" s="54"/>
    </row>
    <row r="31" spans="2:25" ht="11.25" customHeight="1" thickBot="1">
      <c r="B31" s="34"/>
      <c r="C31" s="34"/>
      <c r="D31" s="284"/>
      <c r="E31" s="54"/>
      <c r="F31" s="54"/>
      <c r="G31" s="54"/>
      <c r="H31" s="364"/>
      <c r="I31" s="280"/>
      <c r="J31" s="283"/>
      <c r="K31" s="54"/>
      <c r="L31" s="370"/>
      <c r="M31" s="366"/>
      <c r="N31" s="368"/>
      <c r="O31" s="281"/>
      <c r="P31" s="54"/>
      <c r="Q31" s="54"/>
      <c r="R31" s="54"/>
      <c r="S31" s="280"/>
      <c r="T31" s="283"/>
      <c r="U31" s="54"/>
      <c r="V31" s="54"/>
      <c r="W31" s="54"/>
      <c r="X31" s="54"/>
      <c r="Y31" s="54"/>
    </row>
    <row r="32" spans="2:25" ht="7.5" customHeight="1" thickBot="1">
      <c r="B32" s="369">
        <v>6</v>
      </c>
      <c r="C32" s="365" t="str">
        <f>INDEX(Seeding!$B$5:$E$44,MATCH(Playoffs!B32,Seeding!$B$5:$B$44,0),2)</f>
        <v>Riversburg-Madison University</v>
      </c>
      <c r="D32" s="367"/>
      <c r="E32" s="279"/>
      <c r="F32" s="54"/>
      <c r="G32" s="54"/>
      <c r="H32" s="54"/>
      <c r="I32" s="280"/>
      <c r="J32" s="283"/>
      <c r="K32" s="54"/>
      <c r="L32" s="54"/>
      <c r="M32" s="54"/>
      <c r="N32" s="280"/>
      <c r="O32" s="283"/>
      <c r="P32" s="54"/>
      <c r="Q32" s="54"/>
      <c r="R32" s="54"/>
      <c r="S32" s="280"/>
      <c r="T32" s="283"/>
      <c r="U32" s="54"/>
      <c r="V32" s="54"/>
      <c r="W32" s="54"/>
      <c r="X32" s="54"/>
      <c r="Y32" s="54"/>
    </row>
    <row r="33" spans="2:25" ht="11.25" customHeight="1" thickBot="1">
      <c r="B33" s="370"/>
      <c r="C33" s="375"/>
      <c r="D33" s="368"/>
      <c r="E33" s="281"/>
      <c r="F33" s="279"/>
      <c r="G33" s="369">
        <f>IF(D32="","",IF(D32&gt;D34,B32,B34))</f>
      </c>
      <c r="H33" s="365">
        <f>IF(ISNA(INDEX(Seeding!$B$5:$E$44,MATCH(Playoffs!G33,Seeding!$B$5:$B$44,0),2)),"",INDEX(Seeding!$B$5:$E$44,MATCH(Playoffs!G33,Seeding!$B$5:$B$44,0),2))</f>
      </c>
      <c r="I33" s="367"/>
      <c r="J33" s="282"/>
      <c r="K33" s="54"/>
      <c r="L33" s="54"/>
      <c r="M33" s="54"/>
      <c r="N33" s="280"/>
      <c r="O33" s="283"/>
      <c r="P33" s="54"/>
      <c r="Q33" s="54"/>
      <c r="R33" s="54"/>
      <c r="S33" s="280"/>
      <c r="T33" s="283"/>
      <c r="U33" s="54"/>
      <c r="V33" s="54"/>
      <c r="W33" s="54"/>
      <c r="X33" s="54"/>
      <c r="Y33" s="54"/>
    </row>
    <row r="34" spans="2:25" ht="11.25" customHeight="1" thickBot="1">
      <c r="B34" s="376">
        <v>11</v>
      </c>
      <c r="C34" s="365" t="str">
        <f>INDEX(Seeding!$B$5:$E$44,MATCH(Playoffs!B34,Seeding!$B$5:$B$44,0),2)</f>
        <v>University of Arkinesia</v>
      </c>
      <c r="D34" s="377"/>
      <c r="E34" s="282"/>
      <c r="F34" s="54"/>
      <c r="G34" s="370"/>
      <c r="H34" s="366"/>
      <c r="I34" s="368"/>
      <c r="J34" s="54"/>
      <c r="K34" s="54"/>
      <c r="L34" s="54"/>
      <c r="M34" s="54"/>
      <c r="N34" s="280"/>
      <c r="O34" s="283"/>
      <c r="P34" s="54"/>
      <c r="Q34" s="54"/>
      <c r="R34" s="54"/>
      <c r="S34" s="280"/>
      <c r="T34" s="283"/>
      <c r="U34" s="54"/>
      <c r="V34" s="54"/>
      <c r="W34" s="54"/>
      <c r="X34" s="54"/>
      <c r="Y34" s="54"/>
    </row>
    <row r="35" spans="2:25" ht="7.5" customHeight="1" thickBot="1">
      <c r="B35" s="370"/>
      <c r="C35" s="366"/>
      <c r="D35" s="368"/>
      <c r="E35" s="54"/>
      <c r="F35" s="54"/>
      <c r="G35" s="54"/>
      <c r="H35" s="52"/>
      <c r="I35" s="280"/>
      <c r="J35" s="54"/>
      <c r="K35" s="54"/>
      <c r="L35" s="54"/>
      <c r="M35" s="364">
        <f>IF(ISNA(INDEX(Teams!$B$5:$F$45,MATCH(INDEX(Seeding!$B$5:$C$44,MATCH(MIN(L30,L42),Seeding!$B$5:$B$44,0),3),Teams!$B$5:$B$45,0),2)),"","@ "&amp;INDEX(Teams!$B$5:$F$45,MATCH(INDEX(Seeding!$B$5:$C$44,MATCH(MIN(L30,L42),Seeding!$B$5:$B$44,0),3),Teams!$B$5:$B$40,0),2))</f>
      </c>
      <c r="N35" s="280"/>
      <c r="O35" s="283"/>
      <c r="P35" s="54"/>
      <c r="Q35" s="54"/>
      <c r="R35" s="54"/>
      <c r="S35" s="280"/>
      <c r="T35" s="283"/>
      <c r="U35" s="54"/>
      <c r="V35" s="54"/>
      <c r="W35" s="54"/>
      <c r="X35" s="54"/>
      <c r="Y35" s="54"/>
    </row>
    <row r="36" spans="2:25" ht="12.75" customHeight="1">
      <c r="B36" s="54"/>
      <c r="C36" s="34" t="str">
        <f>"@ "&amp;INDEX(Teams!$B$5:$F$45,MATCH(Playoffs!C32,Teams!$B$5:$B$45,0),3)</f>
        <v>@ Anatidae Field</v>
      </c>
      <c r="D36" s="280"/>
      <c r="E36" s="54"/>
      <c r="F36" s="54"/>
      <c r="G36" s="54"/>
      <c r="H36" s="285"/>
      <c r="I36" s="280"/>
      <c r="J36" s="54"/>
      <c r="K36" s="54"/>
      <c r="L36" s="54"/>
      <c r="M36" s="364"/>
      <c r="N36" s="280"/>
      <c r="O36" s="283"/>
      <c r="P36" s="279"/>
      <c r="Q36" s="369">
        <f>IF(N30="","",IF(N30&gt;N42,L30,L42))</f>
      </c>
      <c r="R36" s="365">
        <f>IF(ISNA(INDEX(Seeding!$B$5:$E$39,MATCH(Playoffs!Q36,Seeding!$B$5:$B$39,0),2)),"",INDEX(Seeding!$B$5:$E$39,MATCH(Playoffs!Q36,Seeding!$B$5:$B$39,0),2))</f>
      </c>
      <c r="S36" s="367"/>
      <c r="T36" s="282"/>
      <c r="U36" s="54"/>
      <c r="V36" s="54"/>
      <c r="W36" s="54"/>
      <c r="X36" s="54"/>
      <c r="Y36" s="54"/>
    </row>
    <row r="37" spans="2:25" ht="11.25" customHeight="1" thickBot="1">
      <c r="B37" s="54"/>
      <c r="C37" s="54"/>
      <c r="D37" s="280"/>
      <c r="E37" s="54"/>
      <c r="F37" s="54"/>
      <c r="G37" s="54"/>
      <c r="H37" s="54"/>
      <c r="I37" s="280"/>
      <c r="J37" s="54"/>
      <c r="K37" s="54"/>
      <c r="L37" s="54"/>
      <c r="M37" s="364"/>
      <c r="N37" s="280"/>
      <c r="O37" s="283"/>
      <c r="P37" s="54"/>
      <c r="Q37" s="370"/>
      <c r="R37" s="366"/>
      <c r="S37" s="368"/>
      <c r="T37" s="54"/>
      <c r="U37" s="54"/>
      <c r="V37" s="54"/>
      <c r="W37" s="54"/>
      <c r="X37" s="54"/>
      <c r="Y37" s="54"/>
    </row>
    <row r="38" spans="2:25" ht="7.5" customHeight="1" thickBot="1">
      <c r="B38" s="369">
        <v>7</v>
      </c>
      <c r="C38" s="365" t="str">
        <f>INDEX(Seeding!$B$5:$E$44,MATCH(Playoffs!B38,Seeding!$B$5:$B$44,0),2)</f>
        <v>Scott City University</v>
      </c>
      <c r="D38" s="367"/>
      <c r="E38" s="279"/>
      <c r="F38" s="54"/>
      <c r="G38" s="54"/>
      <c r="H38" s="54"/>
      <c r="I38" s="280"/>
      <c r="J38" s="54"/>
      <c r="K38" s="54"/>
      <c r="L38" s="54"/>
      <c r="M38" s="54"/>
      <c r="N38" s="280"/>
      <c r="O38" s="283"/>
      <c r="P38" s="54"/>
      <c r="Q38" s="54"/>
      <c r="R38" s="54"/>
      <c r="S38" s="280"/>
      <c r="T38" s="54"/>
      <c r="U38" s="54"/>
      <c r="V38" s="54"/>
      <c r="W38" s="54"/>
      <c r="X38" s="54"/>
      <c r="Y38" s="54"/>
    </row>
    <row r="39" spans="2:25" ht="11.25" customHeight="1" thickBot="1">
      <c r="B39" s="370"/>
      <c r="C39" s="375"/>
      <c r="D39" s="368"/>
      <c r="E39" s="281"/>
      <c r="F39" s="279"/>
      <c r="G39" s="369">
        <f>IF(D38="","",IF(D38&gt;D40,B38,B40))</f>
      </c>
      <c r="H39" s="365">
        <f>IF(ISNA(INDEX(Seeding!$B$5:$E$44,MATCH(Playoffs!G39,Seeding!$B$5:$B$44,0),2)),"",INDEX(Seeding!$B$5:$E$44,MATCH(Playoffs!G39,Seeding!$B$5:$B$44,0),2))</f>
      </c>
      <c r="I39" s="367"/>
      <c r="J39" s="279"/>
      <c r="K39" s="54"/>
      <c r="L39" s="54"/>
      <c r="M39" s="54"/>
      <c r="N39" s="280"/>
      <c r="O39" s="283"/>
      <c r="P39" s="54"/>
      <c r="Q39" s="54"/>
      <c r="R39" s="54"/>
      <c r="S39" s="280"/>
      <c r="T39" s="54"/>
      <c r="U39" s="54"/>
      <c r="V39" s="54"/>
      <c r="W39" s="54"/>
      <c r="X39" s="54"/>
      <c r="Y39" s="54"/>
    </row>
    <row r="40" spans="2:25" ht="11.25" customHeight="1" thickBot="1">
      <c r="B40" s="376">
        <v>10</v>
      </c>
      <c r="C40" s="365" t="str">
        <f>INDEX(Seeding!$B$5:$E$44,MATCH(Playoffs!B40,Seeding!$B$5:$B$44,0),2)</f>
        <v>Frbiba State University</v>
      </c>
      <c r="D40" s="377"/>
      <c r="E40" s="282"/>
      <c r="F40" s="54"/>
      <c r="G40" s="370"/>
      <c r="H40" s="366"/>
      <c r="I40" s="368"/>
      <c r="J40" s="281"/>
      <c r="K40" s="54"/>
      <c r="L40" s="54"/>
      <c r="M40" s="54"/>
      <c r="N40" s="280"/>
      <c r="O40" s="283"/>
      <c r="P40" s="54"/>
      <c r="Q40" s="54"/>
      <c r="R40" s="54"/>
      <c r="S40" s="280"/>
      <c r="T40" s="54"/>
      <c r="U40" s="54"/>
      <c r="V40" s="54"/>
      <c r="W40" s="54"/>
      <c r="X40" s="54"/>
      <c r="Y40" s="54"/>
    </row>
    <row r="41" spans="2:25" ht="7.5" customHeight="1" thickBot="1">
      <c r="B41" s="370"/>
      <c r="C41" s="366"/>
      <c r="D41" s="368"/>
      <c r="E41" s="54"/>
      <c r="F41" s="54"/>
      <c r="G41" s="54"/>
      <c r="H41" s="52"/>
      <c r="I41" s="280"/>
      <c r="J41" s="283"/>
      <c r="K41" s="54"/>
      <c r="L41" s="54"/>
      <c r="M41" s="54"/>
      <c r="N41" s="280"/>
      <c r="O41" s="283"/>
      <c r="P41" s="54"/>
      <c r="Q41" s="54"/>
      <c r="R41" s="54"/>
      <c r="S41" s="280"/>
      <c r="T41" s="54"/>
      <c r="U41" s="54"/>
      <c r="V41" s="54"/>
      <c r="W41" s="54"/>
      <c r="X41" s="54"/>
      <c r="Y41" s="54"/>
    </row>
    <row r="42" spans="2:25" ht="12.75" customHeight="1">
      <c r="B42" s="34"/>
      <c r="C42" s="34" t="str">
        <f>"@ "&amp;INDEX(Teams!$B$5:$F$45,MATCH(Playoffs!C38,Teams!$B$5:$B$45,0),3)</f>
        <v>@ Bronco Stadium</v>
      </c>
      <c r="D42" s="284"/>
      <c r="E42" s="54"/>
      <c r="F42" s="54"/>
      <c r="G42" s="54"/>
      <c r="H42" s="364">
        <f>IF(ISNA(INDEX(Teams!$B$5:$F$45,MATCH(INDEX(Seeding!$B$5:$C$44,MATCH(MIN(Playoffs!G39,Playoffs!G45),Seeding!$B$5:$B$44,0),3),Teams!$B$5:$B$45,0),2)),"","@ "&amp;INDEX(Teams!$B$5:$F$45,MATCH(INDEX(Seeding!$B$5:$C$44,MATCH(MIN(Playoffs!G39,Playoffs!G45),Seeding!$B$5:$B$44,0),3),Teams!$B$5:$B$40,0),2))</f>
      </c>
      <c r="I42" s="280"/>
      <c r="J42" s="283"/>
      <c r="K42" s="279"/>
      <c r="L42" s="369">
        <f>IF(I39="","",IF(I39&gt;I45,G39,G45))</f>
      </c>
      <c r="M42" s="365">
        <f>IF(ISNA(INDEX(Seeding!$B$5:$E$44,MATCH(Playoffs!L42,Seeding!$B$5:$B$44,0),2)),"",INDEX(Seeding!$B$5:$E$44,MATCH(Playoffs!L42,Seeding!$B$5:$B$44,0),2))</f>
      </c>
      <c r="N42" s="367"/>
      <c r="O42" s="282"/>
      <c r="P42" s="54"/>
      <c r="Q42" s="54"/>
      <c r="R42" s="54"/>
      <c r="S42" s="280"/>
      <c r="T42" s="54"/>
      <c r="U42" s="54"/>
      <c r="V42" s="54"/>
      <c r="W42" s="54"/>
      <c r="X42" s="54"/>
      <c r="Y42" s="54"/>
    </row>
    <row r="43" spans="2:25" ht="11.25" customHeight="1" thickBot="1">
      <c r="B43" s="34"/>
      <c r="C43" s="34"/>
      <c r="D43" s="284"/>
      <c r="E43" s="54"/>
      <c r="F43" s="54"/>
      <c r="G43" s="54"/>
      <c r="H43" s="364"/>
      <c r="I43" s="280"/>
      <c r="J43" s="283"/>
      <c r="K43" s="54"/>
      <c r="L43" s="370"/>
      <c r="M43" s="366"/>
      <c r="N43" s="368"/>
      <c r="O43" s="54"/>
      <c r="P43" s="54"/>
      <c r="Q43" s="54"/>
      <c r="R43" s="54"/>
      <c r="S43" s="280"/>
      <c r="T43" s="54"/>
      <c r="U43" s="54"/>
      <c r="V43" s="54"/>
      <c r="W43" s="54"/>
      <c r="X43" s="54"/>
      <c r="Y43" s="54"/>
    </row>
    <row r="44" spans="2:25" ht="7.5" customHeight="1" thickBot="1">
      <c r="B44" s="369">
        <v>2</v>
      </c>
      <c r="C44" s="365" t="str">
        <f>INDEX(Seeding!$B$5:$E$44,MATCH(Playoffs!B44,Seeding!$B$5:$B$44,0),2)</f>
        <v>Colden University</v>
      </c>
      <c r="D44" s="367"/>
      <c r="E44" s="279"/>
      <c r="F44" s="54"/>
      <c r="G44" s="54"/>
      <c r="H44" s="54"/>
      <c r="I44" s="280"/>
      <c r="J44" s="283"/>
      <c r="K44" s="54"/>
      <c r="L44" s="54"/>
      <c r="M44" s="54"/>
      <c r="N44" s="280"/>
      <c r="O44" s="54"/>
      <c r="P44" s="54"/>
      <c r="Q44" s="54"/>
      <c r="R44" s="54"/>
      <c r="S44" s="280"/>
      <c r="T44" s="54"/>
      <c r="U44" s="54"/>
      <c r="V44" s="54"/>
      <c r="W44" s="54"/>
      <c r="X44" s="54"/>
      <c r="Y44" s="54"/>
    </row>
    <row r="45" spans="2:25" ht="11.25" customHeight="1" thickBot="1">
      <c r="B45" s="370"/>
      <c r="C45" s="375"/>
      <c r="D45" s="368"/>
      <c r="E45" s="281"/>
      <c r="F45" s="279"/>
      <c r="G45" s="369">
        <f>IF(D44="","",IF(D44&gt;D46,B44,B46))</f>
      </c>
      <c r="H45" s="365">
        <f>IF(ISNA(INDEX(Seeding!$B$5:$E$44,MATCH(Playoffs!G45,Seeding!$B$5:$B$44,0),2)),"",INDEX(Seeding!$B$5:$E$44,MATCH(Playoffs!G45,Seeding!$B$5:$B$44,0),2))</f>
      </c>
      <c r="I45" s="367"/>
      <c r="J45" s="282"/>
      <c r="K45" s="54"/>
      <c r="L45" s="54"/>
      <c r="M45" s="54"/>
      <c r="N45" s="280"/>
      <c r="O45" s="54"/>
      <c r="P45" s="54"/>
      <c r="Q45" s="54"/>
      <c r="R45" s="54"/>
      <c r="S45" s="280"/>
      <c r="T45" s="54"/>
      <c r="U45" s="54"/>
      <c r="V45" s="54"/>
      <c r="W45" s="54"/>
      <c r="X45" s="54"/>
      <c r="Y45" s="54"/>
    </row>
    <row r="46" spans="2:25" ht="11.25" customHeight="1" thickBot="1">
      <c r="B46" s="376">
        <v>15</v>
      </c>
      <c r="C46" s="365" t="str">
        <f>INDEX(Seeding!$B$5:$E$44,MATCH(Playoffs!B46,Seeding!$B$5:$B$44,0),2)</f>
        <v>Tim City University</v>
      </c>
      <c r="D46" s="377"/>
      <c r="E46" s="282"/>
      <c r="F46" s="54"/>
      <c r="G46" s="370"/>
      <c r="H46" s="366"/>
      <c r="I46" s="368"/>
      <c r="J46" s="54"/>
      <c r="K46" s="54"/>
      <c r="L46" s="54"/>
      <c r="M46" s="54"/>
      <c r="N46" s="280"/>
      <c r="O46" s="54"/>
      <c r="P46" s="54"/>
      <c r="Q46" s="54"/>
      <c r="R46" s="54"/>
      <c r="S46" s="280"/>
      <c r="T46" s="54"/>
      <c r="U46" s="54"/>
      <c r="V46" s="54"/>
      <c r="W46" s="54"/>
      <c r="X46" s="54"/>
      <c r="Y46" s="54"/>
    </row>
    <row r="47" spans="2:25" ht="7.5" customHeight="1" thickBot="1">
      <c r="B47" s="370"/>
      <c r="C47" s="366"/>
      <c r="D47" s="368"/>
      <c r="E47" s="54"/>
      <c r="F47" s="54"/>
      <c r="G47" s="54"/>
      <c r="H47" s="373"/>
      <c r="I47" s="280"/>
      <c r="J47" s="54"/>
      <c r="K47" s="54"/>
      <c r="L47" s="54"/>
      <c r="M47" s="54"/>
      <c r="N47" s="280"/>
      <c r="O47" s="54"/>
      <c r="P47" s="54"/>
      <c r="Q47" s="54"/>
      <c r="R47" s="54"/>
      <c r="S47" s="280"/>
      <c r="T47" s="54"/>
      <c r="U47" s="54"/>
      <c r="V47" s="54"/>
      <c r="W47" s="54"/>
      <c r="X47" s="54"/>
      <c r="Y47" s="54"/>
    </row>
    <row r="48" spans="3:8" ht="12.75" customHeight="1">
      <c r="C48" s="34" t="str">
        <f>"@ "&amp;INDEX(Teams!$B$5:$F$45,MATCH(Playoffs!C44,Teams!$B$5:$B$45,0),3)</f>
        <v>@ Dorrel Stadium</v>
      </c>
      <c r="H48" s="374"/>
    </row>
  </sheetData>
  <sheetProtection selectLockedCells="1"/>
  <mergeCells count="102">
    <mergeCell ref="C2:C3"/>
    <mergeCell ref="I9:I10"/>
    <mergeCell ref="B10:B11"/>
    <mergeCell ref="D2:D3"/>
    <mergeCell ref="D4:D5"/>
    <mergeCell ref="G3:G4"/>
    <mergeCell ref="I3:I4"/>
    <mergeCell ref="H3:H4"/>
    <mergeCell ref="B2:B3"/>
    <mergeCell ref="B4:B5"/>
    <mergeCell ref="C4:C5"/>
    <mergeCell ref="B8:B9"/>
    <mergeCell ref="C8:C9"/>
    <mergeCell ref="D8:D9"/>
    <mergeCell ref="B16:B17"/>
    <mergeCell ref="C16:C17"/>
    <mergeCell ref="D16:D17"/>
    <mergeCell ref="G9:G10"/>
    <mergeCell ref="C10:C11"/>
    <mergeCell ref="D10:D11"/>
    <mergeCell ref="B14:B15"/>
    <mergeCell ref="C14:C15"/>
    <mergeCell ref="D14:D15"/>
    <mergeCell ref="G15:G16"/>
    <mergeCell ref="B20:B21"/>
    <mergeCell ref="C20:C21"/>
    <mergeCell ref="D20:D21"/>
    <mergeCell ref="G21:G22"/>
    <mergeCell ref="B22:B23"/>
    <mergeCell ref="C22:C23"/>
    <mergeCell ref="D22:D23"/>
    <mergeCell ref="C26:C27"/>
    <mergeCell ref="D26:D27"/>
    <mergeCell ref="H33:H34"/>
    <mergeCell ref="D32:D33"/>
    <mergeCell ref="G33:G34"/>
    <mergeCell ref="C34:C35"/>
    <mergeCell ref="D34:D35"/>
    <mergeCell ref="H30:H31"/>
    <mergeCell ref="B34:B35"/>
    <mergeCell ref="G27:G28"/>
    <mergeCell ref="H27:H28"/>
    <mergeCell ref="I27:I28"/>
    <mergeCell ref="B28:B29"/>
    <mergeCell ref="C28:C29"/>
    <mergeCell ref="D28:D29"/>
    <mergeCell ref="B32:B33"/>
    <mergeCell ref="C32:C33"/>
    <mergeCell ref="B26:B27"/>
    <mergeCell ref="B40:B41"/>
    <mergeCell ref="C40:C41"/>
    <mergeCell ref="D40:D41"/>
    <mergeCell ref="B38:B39"/>
    <mergeCell ref="C38:C39"/>
    <mergeCell ref="D38:D39"/>
    <mergeCell ref="G39:G40"/>
    <mergeCell ref="I39:I40"/>
    <mergeCell ref="H39:H40"/>
    <mergeCell ref="B44:B45"/>
    <mergeCell ref="C44:C45"/>
    <mergeCell ref="D44:D45"/>
    <mergeCell ref="G45:G46"/>
    <mergeCell ref="B46:B47"/>
    <mergeCell ref="C46:C47"/>
    <mergeCell ref="D46:D47"/>
    <mergeCell ref="M6:M7"/>
    <mergeCell ref="L30:L31"/>
    <mergeCell ref="M30:M31"/>
    <mergeCell ref="H47:H48"/>
    <mergeCell ref="H45:H46"/>
    <mergeCell ref="I45:I46"/>
    <mergeCell ref="I33:I34"/>
    <mergeCell ref="H15:H16"/>
    <mergeCell ref="I15:I16"/>
    <mergeCell ref="H42:H43"/>
    <mergeCell ref="S36:S37"/>
    <mergeCell ref="N30:N31"/>
    <mergeCell ref="L42:L43"/>
    <mergeCell ref="M42:M43"/>
    <mergeCell ref="N42:N43"/>
    <mergeCell ref="M35:M37"/>
    <mergeCell ref="Q36:Q37"/>
    <mergeCell ref="R36:R37"/>
    <mergeCell ref="W24:W25"/>
    <mergeCell ref="Q12:Q13"/>
    <mergeCell ref="R12:R13"/>
    <mergeCell ref="S12:S13"/>
    <mergeCell ref="W21:X22"/>
    <mergeCell ref="H21:H22"/>
    <mergeCell ref="I21:I22"/>
    <mergeCell ref="L18:L19"/>
    <mergeCell ref="M18:M19"/>
    <mergeCell ref="H6:H7"/>
    <mergeCell ref="H18:H19"/>
    <mergeCell ref="H9:H10"/>
    <mergeCell ref="X24:X25"/>
    <mergeCell ref="N6:N7"/>
    <mergeCell ref="M11:M13"/>
    <mergeCell ref="L6:L7"/>
    <mergeCell ref="N18:N19"/>
    <mergeCell ref="R23:R26"/>
    <mergeCell ref="R21:R22"/>
  </mergeCells>
  <conditionalFormatting sqref="I45:I46 I39:I40 I33:I34 I27:I28 I21:I22 I15:I16 I9:I10 I3:I4 N6:N7 N18:N19 N30:N31 N42:N43 S36:S37 S12:S13 D2:D4 D44:D47 D38:D41 D32:D35 D26:D29 D20:D23 D14:D17 D8:D11">
    <cfRule type="cellIs" priority="1" dxfId="4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Y48"/>
  <sheetViews>
    <sheetView workbookViewId="0" topLeftCell="A1">
      <selection activeCell="C2" sqref="C2:C3"/>
    </sheetView>
  </sheetViews>
  <sheetFormatPr defaultColWidth="9.140625" defaultRowHeight="12.75"/>
  <cols>
    <col min="1" max="1" width="1.421875" style="48" customWidth="1"/>
    <col min="2" max="2" width="4.28125" style="48" customWidth="1"/>
    <col min="3" max="3" width="28.57421875" style="48" customWidth="1"/>
    <col min="4" max="4" width="5.7109375" style="71" customWidth="1"/>
    <col min="5" max="6" width="5.7109375" style="48" customWidth="1"/>
    <col min="7" max="7" width="4.28125" style="48" customWidth="1"/>
    <col min="8" max="8" width="28.57421875" style="48" customWidth="1"/>
    <col min="9" max="9" width="5.7109375" style="71" customWidth="1"/>
    <col min="10" max="11" width="5.7109375" style="48" customWidth="1"/>
    <col min="12" max="12" width="4.28125" style="48" customWidth="1"/>
    <col min="13" max="13" width="28.57421875" style="48" customWidth="1"/>
    <col min="14" max="14" width="5.7109375" style="71" customWidth="1"/>
    <col min="15" max="16" width="5.7109375" style="48" customWidth="1"/>
    <col min="17" max="17" width="4.28125" style="48" customWidth="1"/>
    <col min="18" max="18" width="28.57421875" style="48" customWidth="1"/>
    <col min="19" max="19" width="5.7109375" style="71" customWidth="1"/>
    <col min="20" max="21" width="5.7109375" style="48" customWidth="1"/>
    <col min="22" max="22" width="1.421875" style="48" customWidth="1"/>
    <col min="23" max="23" width="4.28125" style="48" customWidth="1"/>
    <col min="24" max="24" width="28.57421875" style="48" customWidth="1"/>
    <col min="25" max="25" width="1.421875" style="48" customWidth="1"/>
    <col min="26" max="16384" width="9.140625" style="71" customWidth="1"/>
  </cols>
  <sheetData>
    <row r="1" ht="7.5" customHeight="1" thickBot="1"/>
    <row r="2" spans="2:25" ht="6.75" customHeight="1" thickBot="1">
      <c r="B2" s="369">
        <v>1</v>
      </c>
      <c r="C2" s="365" t="str">
        <f>INDEX(AltSeeding!$B$5:$E$44,MATCH(AltPlayoffs!B2,AltSeeding!$B$5:$B$44,0),2)</f>
        <v>University of Port Salem</v>
      </c>
      <c r="D2" s="367"/>
      <c r="E2" s="279"/>
      <c r="F2" s="54"/>
      <c r="G2" s="54"/>
      <c r="H2" s="54"/>
      <c r="I2" s="280"/>
      <c r="J2" s="54"/>
      <c r="K2" s="54"/>
      <c r="L2" s="54"/>
      <c r="M2" s="54"/>
      <c r="N2" s="280"/>
      <c r="O2" s="54"/>
      <c r="P2" s="54"/>
      <c r="Q2" s="54"/>
      <c r="R2" s="54"/>
      <c r="S2" s="280"/>
      <c r="T2" s="54"/>
      <c r="U2" s="54"/>
      <c r="V2" s="54"/>
      <c r="W2" s="54"/>
      <c r="X2" s="54"/>
      <c r="Y2" s="54"/>
    </row>
    <row r="3" spans="2:25" ht="11.25" customHeight="1" thickBot="1">
      <c r="B3" s="378"/>
      <c r="C3" s="375"/>
      <c r="D3" s="379"/>
      <c r="E3" s="281"/>
      <c r="F3" s="279"/>
      <c r="G3" s="369">
        <f>IF(D2="","",IF(D2&gt;D4,B2,B4))</f>
      </c>
      <c r="H3" s="365">
        <f>IF(ISNA(INDEX(AltSeeding!$B$5:$E$44,MATCH(AltPlayoffs!G3,AltSeeding!$B$5:$B$44,0),2)),"",INDEX(AltSeeding!$B$5:$E$44,MATCH(AltPlayoffs!G3,AltSeeding!$B$5:$B$44,0),2))</f>
      </c>
      <c r="I3" s="367"/>
      <c r="J3" s="279"/>
      <c r="K3" s="54"/>
      <c r="L3" s="54"/>
      <c r="M3" s="54"/>
      <c r="N3" s="280"/>
      <c r="O3" s="54"/>
      <c r="P3" s="54"/>
      <c r="Q3" s="54"/>
      <c r="R3" s="54"/>
      <c r="S3" s="280"/>
      <c r="T3" s="54"/>
      <c r="U3" s="54"/>
      <c r="V3" s="54"/>
      <c r="W3" s="54"/>
      <c r="X3" s="54"/>
      <c r="Y3" s="54"/>
    </row>
    <row r="4" spans="2:25" ht="11.25" customHeight="1" thickBot="1">
      <c r="B4" s="369">
        <v>16</v>
      </c>
      <c r="C4" s="365" t="str">
        <f>INDEX(AltSeeding!$B$5:$E$44,MATCH(AltPlayoffs!B4,AltSeeding!$B$5:$B$44,0),2)</f>
        <v>University of Spitfyred - North</v>
      </c>
      <c r="D4" s="380"/>
      <c r="E4" s="282"/>
      <c r="F4" s="54"/>
      <c r="G4" s="370"/>
      <c r="H4" s="366"/>
      <c r="I4" s="368"/>
      <c r="J4" s="281"/>
      <c r="K4" s="54"/>
      <c r="L4" s="54"/>
      <c r="M4" s="54"/>
      <c r="N4" s="280"/>
      <c r="O4" s="54"/>
      <c r="P4" s="54"/>
      <c r="Q4" s="54"/>
      <c r="R4" s="54"/>
      <c r="S4" s="280"/>
      <c r="T4" s="54"/>
      <c r="U4" s="54"/>
      <c r="V4" s="54"/>
      <c r="W4" s="54"/>
      <c r="X4" s="54"/>
      <c r="Y4" s="54"/>
    </row>
    <row r="5" spans="2:25" ht="7.5" customHeight="1" thickBot="1">
      <c r="B5" s="370"/>
      <c r="C5" s="366"/>
      <c r="D5" s="381"/>
      <c r="E5" s="54"/>
      <c r="F5" s="54"/>
      <c r="G5" s="54"/>
      <c r="H5" s="52"/>
      <c r="I5" s="280"/>
      <c r="J5" s="283"/>
      <c r="K5" s="54"/>
      <c r="L5" s="54"/>
      <c r="M5" s="54"/>
      <c r="N5" s="280"/>
      <c r="O5" s="54"/>
      <c r="P5" s="54"/>
      <c r="Q5" s="54"/>
      <c r="R5" s="54"/>
      <c r="S5" s="280"/>
      <c r="T5" s="54"/>
      <c r="U5" s="54"/>
      <c r="V5" s="54"/>
      <c r="W5" s="54"/>
      <c r="X5" s="54"/>
      <c r="Y5" s="54"/>
    </row>
    <row r="6" spans="2:25" ht="12.75" customHeight="1">
      <c r="B6" s="34"/>
      <c r="C6" s="34" t="str">
        <f>"@ "&amp;INDEX(Teams!$B$5:$F$45,MATCH(AltPlayoffs!C2,Teams!$B$5:$B$45,0),3)</f>
        <v>@ ATD Park</v>
      </c>
      <c r="D6" s="284"/>
      <c r="E6" s="54"/>
      <c r="F6" s="54"/>
      <c r="G6" s="54"/>
      <c r="H6" s="364">
        <f>IF(ISNA(INDEX(Teams!$B$5:$F$45,MATCH(INDEX(AltSeeding!$B$5:$C$44,MATCH(MIN(AltPlayoffs!G3,AltPlayoffs!G9),AltSeeding!$B$5:$B$44,0),3),Teams!$B$5:$B$45,0),2)),"","@ "&amp;INDEX(Teams!$B$5:$F$45,MATCH(INDEX(AltSeeding!$B$5:$C$44,MATCH(MIN(AltPlayoffs!G3,AltPlayoffs!G9),AltSeeding!$B$5:$B$44,0),3),Teams!$B$5:$B$40,0),2))</f>
      </c>
      <c r="I6" s="280"/>
      <c r="J6" s="283"/>
      <c r="K6" s="279"/>
      <c r="L6" s="369">
        <f>IF(I3="","",IF(I3&gt;I9,G3,G9))</f>
      </c>
      <c r="M6" s="365">
        <f>IF(ISNA(INDEX(AltSeeding!$B$5:$E$44,MATCH(AltPlayoffs!L6,AltSeeding!$B$5:$B$44,0),2)),"",INDEX(AltSeeding!$B$5:$E$44,MATCH(AltPlayoffs!L6,AltSeeding!$B$5:$B$44,0),2))</f>
      </c>
      <c r="N6" s="367"/>
      <c r="O6" s="279"/>
      <c r="P6" s="54"/>
      <c r="Q6" s="54"/>
      <c r="R6" s="54"/>
      <c r="S6" s="280"/>
      <c r="T6" s="54"/>
      <c r="U6" s="54"/>
      <c r="V6" s="54"/>
      <c r="W6" s="54"/>
      <c r="X6" s="54"/>
      <c r="Y6" s="54"/>
    </row>
    <row r="7" spans="2:25" ht="11.25" customHeight="1" thickBot="1">
      <c r="B7" s="34"/>
      <c r="C7" s="34"/>
      <c r="D7" s="284"/>
      <c r="E7" s="54"/>
      <c r="F7" s="54"/>
      <c r="G7" s="54"/>
      <c r="H7" s="364"/>
      <c r="I7" s="280"/>
      <c r="J7" s="283"/>
      <c r="K7" s="54"/>
      <c r="L7" s="370"/>
      <c r="M7" s="366"/>
      <c r="N7" s="368"/>
      <c r="O7" s="281"/>
      <c r="P7" s="54"/>
      <c r="Q7" s="54"/>
      <c r="R7" s="54"/>
      <c r="S7" s="280"/>
      <c r="T7" s="54"/>
      <c r="U7" s="54"/>
      <c r="V7" s="54"/>
      <c r="W7" s="54"/>
      <c r="X7" s="54"/>
      <c r="Y7" s="54"/>
    </row>
    <row r="8" spans="2:25" ht="7.5" customHeight="1" thickBot="1">
      <c r="B8" s="369">
        <v>8</v>
      </c>
      <c r="C8" s="365" t="str">
        <f>INDEX(AltSeeding!$B$5:$E$44,MATCH(AltPlayoffs!B8,AltSeeding!$B$5:$B$44,0),2)</f>
        <v>University of Utica</v>
      </c>
      <c r="D8" s="367"/>
      <c r="E8" s="279"/>
      <c r="F8" s="54"/>
      <c r="G8" s="54"/>
      <c r="H8" s="54"/>
      <c r="I8" s="280"/>
      <c r="J8" s="283"/>
      <c r="K8" s="54"/>
      <c r="L8" s="54"/>
      <c r="M8" s="54"/>
      <c r="N8" s="280"/>
      <c r="O8" s="283"/>
      <c r="P8" s="54"/>
      <c r="Q8" s="54"/>
      <c r="R8" s="54"/>
      <c r="S8" s="280"/>
      <c r="T8" s="54"/>
      <c r="U8" s="54"/>
      <c r="V8" s="54"/>
      <c r="W8" s="54"/>
      <c r="X8" s="54"/>
      <c r="Y8" s="54"/>
    </row>
    <row r="9" spans="2:25" ht="11.25" customHeight="1" thickBot="1">
      <c r="B9" s="378"/>
      <c r="C9" s="375"/>
      <c r="D9" s="379"/>
      <c r="E9" s="281"/>
      <c r="F9" s="279"/>
      <c r="G9" s="369">
        <f>IF(D8="","",IF(D8&gt;D10,B8,B10))</f>
      </c>
      <c r="H9" s="365">
        <f>IF(ISNA(INDEX(AltSeeding!$B$5:$E$44,MATCH(AltPlayoffs!G9,AltSeeding!$B$5:$B$44,0),2)),"",INDEX(AltSeeding!$B$5:$E$44,MATCH(AltPlayoffs!G9,AltSeeding!$B$5:$B$44,0),2))</f>
      </c>
      <c r="I9" s="367"/>
      <c r="J9" s="282"/>
      <c r="K9" s="54"/>
      <c r="L9" s="54"/>
      <c r="M9" s="54"/>
      <c r="N9" s="280"/>
      <c r="O9" s="283"/>
      <c r="P9" s="54"/>
      <c r="Q9" s="54"/>
      <c r="R9" s="54"/>
      <c r="S9" s="280"/>
      <c r="T9" s="54"/>
      <c r="U9" s="54"/>
      <c r="V9" s="54"/>
      <c r="W9" s="54"/>
      <c r="X9" s="54"/>
      <c r="Y9" s="54"/>
    </row>
    <row r="10" spans="2:25" ht="11.25" customHeight="1" thickBot="1">
      <c r="B10" s="369">
        <v>9</v>
      </c>
      <c r="C10" s="365" t="str">
        <f>INDEX(AltSeeding!$B$5:$E$44,MATCH(AltPlayoffs!B10,AltSeeding!$B$5:$B$44,0),2)</f>
        <v>Bugny A&amp;M University</v>
      </c>
      <c r="D10" s="367"/>
      <c r="E10" s="282"/>
      <c r="F10" s="54"/>
      <c r="G10" s="370"/>
      <c r="H10" s="366"/>
      <c r="I10" s="368"/>
      <c r="J10" s="54"/>
      <c r="K10" s="54"/>
      <c r="L10" s="54"/>
      <c r="M10" s="54"/>
      <c r="N10" s="280"/>
      <c r="O10" s="283"/>
      <c r="P10" s="54"/>
      <c r="Q10" s="54"/>
      <c r="R10" s="54"/>
      <c r="S10" s="280"/>
      <c r="T10" s="54"/>
      <c r="U10" s="54"/>
      <c r="V10" s="54"/>
      <c r="W10" s="54"/>
      <c r="X10" s="54"/>
      <c r="Y10" s="54"/>
    </row>
    <row r="11" spans="2:25" ht="7.5" customHeight="1" thickBot="1">
      <c r="B11" s="370"/>
      <c r="C11" s="366"/>
      <c r="D11" s="368"/>
      <c r="E11" s="54"/>
      <c r="F11" s="54"/>
      <c r="G11" s="54"/>
      <c r="H11" s="52"/>
      <c r="I11" s="280"/>
      <c r="J11" s="54"/>
      <c r="K11" s="54"/>
      <c r="L11" s="54"/>
      <c r="M11" s="364">
        <f>IF(ISNA(INDEX(Teams!$B$5:$F$45,MATCH(INDEX(AltSeeding!$B$5:$C$44,MATCH(MIN(L6,L18),AltSeeding!$B$5:$B$44,0),3),Teams!$B$5:$B$45,0),2)),"","@ "&amp;INDEX(Teams!$B$5:$F$45,MATCH(INDEX(AltSeeding!$B$5:$C$44,MATCH(MIN(L6,L18),AltSeeding!$B$5:$B$44,0),3),Teams!$B$5:$B$40,0),2))</f>
      </c>
      <c r="N11" s="280"/>
      <c r="O11" s="283"/>
      <c r="P11" s="54"/>
      <c r="Q11" s="54"/>
      <c r="R11" s="54"/>
      <c r="S11" s="280"/>
      <c r="T11" s="54"/>
      <c r="U11" s="54"/>
      <c r="V11" s="54"/>
      <c r="W11" s="54"/>
      <c r="X11" s="54"/>
      <c r="Y11" s="54"/>
    </row>
    <row r="12" spans="2:25" ht="12.75" customHeight="1">
      <c r="B12" s="54"/>
      <c r="C12" s="34" t="str">
        <f>"@ "&amp;INDEX(Teams!$B$5:$F$45,MATCH(AltPlayoffs!C8,Teams!$B$5:$B$45,0),3)</f>
        <v>@ Martin Connors Memorial Field</v>
      </c>
      <c r="D12" s="280"/>
      <c r="E12" s="54"/>
      <c r="F12" s="54"/>
      <c r="G12" s="54"/>
      <c r="H12" s="285"/>
      <c r="I12" s="280"/>
      <c r="J12" s="54"/>
      <c r="K12" s="54"/>
      <c r="L12" s="54"/>
      <c r="M12" s="364"/>
      <c r="N12" s="280"/>
      <c r="O12" s="283"/>
      <c r="P12" s="279"/>
      <c r="Q12" s="369">
        <f>IF(N6="","",IF(N6&gt;N18,L6,L18))</f>
      </c>
      <c r="R12" s="365">
        <f>IF(ISNA(INDEX(AltSeeding!$B$5:$E$39,MATCH(AltPlayoffs!Q12,AltSeeding!$B$5:$B$39,0),2)),"",INDEX(AltSeeding!$B$5:$E$39,MATCH(AltPlayoffs!Q12,AltSeeding!$B$5:$B$39,0),2))</f>
      </c>
      <c r="S12" s="367"/>
      <c r="T12" s="279"/>
      <c r="U12" s="54"/>
      <c r="V12" s="54"/>
      <c r="W12" s="54"/>
      <c r="X12" s="54"/>
      <c r="Y12" s="54"/>
    </row>
    <row r="13" spans="2:25" ht="11.25" customHeight="1" thickBot="1">
      <c r="B13" s="54"/>
      <c r="C13" s="54"/>
      <c r="D13" s="280"/>
      <c r="E13" s="54"/>
      <c r="F13" s="54"/>
      <c r="G13" s="54"/>
      <c r="H13" s="285"/>
      <c r="I13" s="280"/>
      <c r="J13" s="54"/>
      <c r="K13" s="54"/>
      <c r="L13" s="54"/>
      <c r="M13" s="364"/>
      <c r="N13" s="280"/>
      <c r="O13" s="283"/>
      <c r="P13" s="54"/>
      <c r="Q13" s="370"/>
      <c r="R13" s="366"/>
      <c r="S13" s="368"/>
      <c r="T13" s="281"/>
      <c r="U13" s="54"/>
      <c r="V13" s="54"/>
      <c r="W13" s="54"/>
      <c r="X13" s="54"/>
      <c r="Y13" s="54"/>
    </row>
    <row r="14" spans="2:25" ht="7.5" customHeight="1" thickBot="1">
      <c r="B14" s="369">
        <v>3</v>
      </c>
      <c r="C14" s="365" t="str">
        <f>INDEX(AltSeeding!$B$5:$E$44,MATCH(AltPlayoffs!B14,AltSeeding!$B$5:$B$44,0),2)</f>
        <v>Colden University</v>
      </c>
      <c r="D14" s="367"/>
      <c r="E14" s="279"/>
      <c r="F14" s="54"/>
      <c r="G14" s="54"/>
      <c r="H14" s="54"/>
      <c r="I14" s="280"/>
      <c r="J14" s="54"/>
      <c r="K14" s="54"/>
      <c r="L14" s="54"/>
      <c r="M14" s="54"/>
      <c r="N14" s="280"/>
      <c r="O14" s="283"/>
      <c r="P14" s="54"/>
      <c r="Q14" s="54"/>
      <c r="R14" s="54"/>
      <c r="S14" s="280"/>
      <c r="T14" s="283"/>
      <c r="U14" s="54"/>
      <c r="V14" s="54"/>
      <c r="W14" s="54"/>
      <c r="X14" s="54"/>
      <c r="Y14" s="54"/>
    </row>
    <row r="15" spans="2:25" ht="11.25" customHeight="1" thickBot="1">
      <c r="B15" s="378"/>
      <c r="C15" s="375"/>
      <c r="D15" s="379"/>
      <c r="E15" s="281"/>
      <c r="F15" s="279"/>
      <c r="G15" s="369">
        <f>IF(D14="","",IF(D14&gt;D16,B14,B16))</f>
      </c>
      <c r="H15" s="365">
        <f>IF(ISNA(INDEX(AltSeeding!$B$5:$E$44,MATCH(AltPlayoffs!G15,AltSeeding!$B$5:$B$44,0),2)),"",INDEX(AltSeeding!$B$5:$E$44,MATCH(AltPlayoffs!G15,AltSeeding!$B$5:$B$44,0),2))</f>
      </c>
      <c r="I15" s="367"/>
      <c r="J15" s="279"/>
      <c r="K15" s="54"/>
      <c r="L15" s="54"/>
      <c r="M15" s="54"/>
      <c r="N15" s="280"/>
      <c r="O15" s="283"/>
      <c r="P15" s="54"/>
      <c r="Q15" s="54"/>
      <c r="R15" s="54"/>
      <c r="S15" s="280"/>
      <c r="T15" s="283"/>
      <c r="U15" s="54"/>
      <c r="V15" s="54"/>
      <c r="W15" s="54"/>
      <c r="X15" s="54"/>
      <c r="Y15" s="54"/>
    </row>
    <row r="16" spans="2:25" ht="11.25" customHeight="1" thickBot="1">
      <c r="B16" s="369">
        <v>13</v>
      </c>
      <c r="C16" s="365" t="str">
        <f>INDEX(AltSeeding!$B$5:$E$44,MATCH(AltPlayoffs!B16,AltSeeding!$B$5:$B$44,0),2)</f>
        <v>University of St. John's Island</v>
      </c>
      <c r="D16" s="367"/>
      <c r="E16" s="282"/>
      <c r="F16" s="54"/>
      <c r="G16" s="370"/>
      <c r="H16" s="366"/>
      <c r="I16" s="368"/>
      <c r="J16" s="281"/>
      <c r="K16" s="54"/>
      <c r="L16" s="54"/>
      <c r="M16" s="54"/>
      <c r="N16" s="280"/>
      <c r="O16" s="283"/>
      <c r="P16" s="54"/>
      <c r="Q16" s="54"/>
      <c r="R16" s="54"/>
      <c r="S16" s="280"/>
      <c r="T16" s="283"/>
      <c r="U16" s="54"/>
      <c r="V16" s="54"/>
      <c r="W16" s="54"/>
      <c r="X16" s="54"/>
      <c r="Y16" s="54"/>
    </row>
    <row r="17" spans="2:25" ht="7.5" customHeight="1" thickBot="1">
      <c r="B17" s="370"/>
      <c r="C17" s="366"/>
      <c r="D17" s="368"/>
      <c r="E17" s="54"/>
      <c r="F17" s="54"/>
      <c r="G17" s="54"/>
      <c r="H17" s="52"/>
      <c r="I17" s="280"/>
      <c r="J17" s="283"/>
      <c r="K17" s="54"/>
      <c r="L17" s="54"/>
      <c r="M17" s="54"/>
      <c r="N17" s="280"/>
      <c r="O17" s="283"/>
      <c r="P17" s="54"/>
      <c r="Q17" s="54"/>
      <c r="R17" s="54"/>
      <c r="S17" s="280"/>
      <c r="T17" s="283"/>
      <c r="U17" s="54"/>
      <c r="V17" s="54"/>
      <c r="W17" s="54"/>
      <c r="X17" s="54"/>
      <c r="Y17" s="54"/>
    </row>
    <row r="18" spans="2:25" ht="12.75" customHeight="1">
      <c r="B18" s="34"/>
      <c r="C18" s="34" t="str">
        <f>"@ "&amp;INDEX(Teams!$B$5:$F$45,MATCH(AltPlayoffs!C14,Teams!$B$5:$B$45,0),3)</f>
        <v>@ Dorrel Stadium</v>
      </c>
      <c r="D18" s="284"/>
      <c r="E18" s="54"/>
      <c r="F18" s="54"/>
      <c r="G18" s="54"/>
      <c r="H18" s="364">
        <f>IF(ISNA(INDEX(Teams!$B$5:$F$45,MATCH(INDEX(AltSeeding!$B$5:$C$44,MATCH(MIN(AltPlayoffs!G15,AltPlayoffs!G21),AltSeeding!$B$5:$B$44,0),3),Teams!$B$5:$B$45,0),2)),"","@ "&amp;INDEX(Teams!$B$5:$F$45,MATCH(INDEX(AltSeeding!$B$5:$C$44,MATCH(MIN(AltPlayoffs!G15,AltPlayoffs!G21),AltSeeding!$B$5:$B$44,0),3),Teams!$B$5:$B$40,0),2))</f>
      </c>
      <c r="I18" s="280"/>
      <c r="J18" s="283"/>
      <c r="K18" s="279"/>
      <c r="L18" s="369">
        <f>IF(I15="","",IF(I15&gt;I21,G15,G21))</f>
      </c>
      <c r="M18" s="365">
        <f>IF(ISNA(INDEX(AltSeeding!$B$5:$E$44,MATCH(AltPlayoffs!L18,AltSeeding!$B$5:$B$44,0),2)),"",INDEX(AltSeeding!$B$5:$E$44,MATCH(AltPlayoffs!L18,AltSeeding!$B$5:$B$44,0),2))</f>
      </c>
      <c r="N18" s="367"/>
      <c r="O18" s="282"/>
      <c r="P18" s="54"/>
      <c r="Q18" s="54"/>
      <c r="R18" s="54"/>
      <c r="S18" s="280"/>
      <c r="T18" s="283"/>
      <c r="U18" s="54"/>
      <c r="V18" s="54"/>
      <c r="W18" s="54"/>
      <c r="X18" s="54"/>
      <c r="Y18" s="54"/>
    </row>
    <row r="19" spans="2:25" ht="11.25" customHeight="1" thickBot="1">
      <c r="B19" s="34"/>
      <c r="C19" s="34"/>
      <c r="D19" s="284"/>
      <c r="E19" s="54"/>
      <c r="F19" s="54"/>
      <c r="G19" s="54"/>
      <c r="H19" s="364"/>
      <c r="I19" s="280"/>
      <c r="J19" s="283"/>
      <c r="K19" s="54"/>
      <c r="L19" s="370"/>
      <c r="M19" s="366"/>
      <c r="N19" s="368"/>
      <c r="O19" s="54"/>
      <c r="P19" s="54"/>
      <c r="Q19" s="54"/>
      <c r="R19" s="54"/>
      <c r="S19" s="280"/>
      <c r="T19" s="283"/>
      <c r="U19" s="54"/>
      <c r="V19" s="54"/>
      <c r="W19" s="54"/>
      <c r="X19" s="54"/>
      <c r="Y19" s="54"/>
    </row>
    <row r="20" spans="2:25" ht="7.5" customHeight="1" thickBot="1">
      <c r="B20" s="369">
        <v>5</v>
      </c>
      <c r="C20" s="365" t="str">
        <f>INDEX(AltSeeding!$B$5:$E$44,MATCH(AltPlayoffs!B20,AltSeeding!$B$5:$B$44,0),2)</f>
        <v>University of Alzburg-Dyka</v>
      </c>
      <c r="D20" s="367"/>
      <c r="E20" s="279"/>
      <c r="F20" s="54"/>
      <c r="G20" s="54"/>
      <c r="H20" s="54"/>
      <c r="I20" s="280"/>
      <c r="J20" s="283"/>
      <c r="K20" s="54"/>
      <c r="L20" s="54"/>
      <c r="M20" s="54"/>
      <c r="N20" s="280"/>
      <c r="O20" s="54"/>
      <c r="P20" s="54"/>
      <c r="Q20" s="54"/>
      <c r="R20" s="54"/>
      <c r="S20" s="280"/>
      <c r="T20" s="283"/>
      <c r="U20" s="54"/>
      <c r="V20" s="286"/>
      <c r="W20" s="287"/>
      <c r="X20" s="287"/>
      <c r="Y20" s="288"/>
    </row>
    <row r="21" spans="2:25" ht="11.25" customHeight="1" thickBot="1">
      <c r="B21" s="370"/>
      <c r="C21" s="375"/>
      <c r="D21" s="368"/>
      <c r="E21" s="281"/>
      <c r="F21" s="279"/>
      <c r="G21" s="369">
        <f>IF(D20="","",IF(D20&gt;D22,B20,B22))</f>
      </c>
      <c r="H21" s="365">
        <f>IF(ISNA(INDEX(AltSeeding!$B$5:$E$44,MATCH(AltPlayoffs!G21,AltSeeding!$B$5:$B$44,0),2)),"",INDEX(AltSeeding!$B$5:$E$44,MATCH(AltPlayoffs!G21,AltSeeding!$B$5:$B$44,0),2))</f>
      </c>
      <c r="I21" s="367"/>
      <c r="J21" s="282"/>
      <c r="K21" s="54"/>
      <c r="L21" s="54"/>
      <c r="M21" s="54"/>
      <c r="N21" s="280"/>
      <c r="O21" s="54"/>
      <c r="P21" s="54"/>
      <c r="Q21" s="54"/>
      <c r="R21" s="364" t="s">
        <v>286</v>
      </c>
      <c r="S21" s="280"/>
      <c r="T21" s="283"/>
      <c r="U21" s="54"/>
      <c r="V21" s="289"/>
      <c r="W21" s="372" t="s">
        <v>288</v>
      </c>
      <c r="X21" s="372"/>
      <c r="Y21" s="291"/>
    </row>
    <row r="22" spans="2:25" ht="11.25" customHeight="1" thickBot="1">
      <c r="B22" s="376">
        <v>12</v>
      </c>
      <c r="C22" s="365" t="str">
        <f>INDEX(AltSeeding!$B$5:$E$44,MATCH(AltPlayoffs!B22,AltSeeding!$B$5:$B$44,0),2)</f>
        <v>Saugeais State University</v>
      </c>
      <c r="D22" s="377"/>
      <c r="E22" s="282"/>
      <c r="F22" s="54"/>
      <c r="G22" s="370"/>
      <c r="H22" s="366"/>
      <c r="I22" s="368"/>
      <c r="J22" s="54"/>
      <c r="K22" s="54"/>
      <c r="L22" s="54"/>
      <c r="M22" s="54"/>
      <c r="N22" s="280"/>
      <c r="O22" s="54"/>
      <c r="P22" s="54"/>
      <c r="Q22" s="54"/>
      <c r="R22" s="364"/>
      <c r="S22" s="280"/>
      <c r="T22" s="283"/>
      <c r="U22" s="54"/>
      <c r="V22" s="289"/>
      <c r="W22" s="372"/>
      <c r="X22" s="372"/>
      <c r="Y22" s="291"/>
    </row>
    <row r="23" spans="2:25" ht="7.5" customHeight="1" thickBot="1">
      <c r="B23" s="370"/>
      <c r="C23" s="366"/>
      <c r="D23" s="368"/>
      <c r="E23" s="54"/>
      <c r="F23" s="54"/>
      <c r="G23" s="54"/>
      <c r="H23" s="52"/>
      <c r="I23" s="280"/>
      <c r="J23" s="54"/>
      <c r="K23" s="54"/>
      <c r="L23" s="54"/>
      <c r="M23" s="54"/>
      <c r="N23" s="280"/>
      <c r="O23" s="54"/>
      <c r="P23" s="54"/>
      <c r="Q23" s="54"/>
      <c r="R23" s="371" t="s">
        <v>287</v>
      </c>
      <c r="S23" s="280"/>
      <c r="T23" s="283"/>
      <c r="U23" s="54"/>
      <c r="V23" s="289"/>
      <c r="W23" s="290"/>
      <c r="X23" s="290"/>
      <c r="Y23" s="291"/>
    </row>
    <row r="24" spans="2:25" ht="12.75" customHeight="1">
      <c r="B24" s="54"/>
      <c r="C24" s="34" t="str">
        <f>"@ "&amp;INDEX(Teams!$B$5:$F$45,MATCH(AltPlayoffs!C20,Teams!$B$5:$B$45,0),3)</f>
        <v>@ Tiegemburg Park</v>
      </c>
      <c r="D24" s="280"/>
      <c r="E24" s="54"/>
      <c r="F24" s="54"/>
      <c r="G24" s="54"/>
      <c r="H24" s="285"/>
      <c r="I24" s="280"/>
      <c r="J24" s="54"/>
      <c r="K24" s="54"/>
      <c r="L24" s="54"/>
      <c r="M24" s="54"/>
      <c r="N24" s="280"/>
      <c r="O24" s="54"/>
      <c r="P24" s="54"/>
      <c r="Q24" s="54"/>
      <c r="R24" s="364"/>
      <c r="S24" s="280"/>
      <c r="T24" s="283"/>
      <c r="U24" s="279"/>
      <c r="V24" s="292"/>
      <c r="W24" s="369">
        <f>IF(S12="","",IF(S12&gt;S36,Q12,Q36))</f>
      </c>
      <c r="X24" s="365">
        <f>IF(ISNA(INDEX(AltSeeding!$B$5:$E$39,MATCH(AltPlayoffs!W24,AltSeeding!$B$5:$B$39,0),2)),"",INDEX(AltSeeding!$B$5:$E$39,MATCH(AltPlayoffs!W24,AltSeeding!$B$5:$B$39,0),2))</f>
      </c>
      <c r="Y24" s="291"/>
    </row>
    <row r="25" spans="2:25" ht="11.25" customHeight="1" thickBot="1">
      <c r="B25" s="54"/>
      <c r="C25" s="54"/>
      <c r="D25" s="280"/>
      <c r="E25" s="54"/>
      <c r="F25" s="54"/>
      <c r="G25" s="54"/>
      <c r="H25" s="54"/>
      <c r="I25" s="280"/>
      <c r="J25" s="54"/>
      <c r="K25" s="54"/>
      <c r="L25" s="54"/>
      <c r="M25" s="54"/>
      <c r="N25" s="280"/>
      <c r="O25" s="54"/>
      <c r="P25" s="54"/>
      <c r="Q25" s="54"/>
      <c r="R25" s="364"/>
      <c r="S25" s="280"/>
      <c r="T25" s="283"/>
      <c r="U25" s="54"/>
      <c r="V25" s="292"/>
      <c r="W25" s="370"/>
      <c r="X25" s="366"/>
      <c r="Y25" s="291"/>
    </row>
    <row r="26" spans="2:25" ht="7.5" customHeight="1" thickBot="1">
      <c r="B26" s="369">
        <v>4</v>
      </c>
      <c r="C26" s="365" t="str">
        <f>INDEX(AltSeeding!$B$5:$E$44,MATCH(AltPlayoffs!B26,AltSeeding!$B$5:$B$44,0),2)</f>
        <v>Oklahoma City State University</v>
      </c>
      <c r="D26" s="367"/>
      <c r="E26" s="279"/>
      <c r="F26" s="54"/>
      <c r="G26" s="54"/>
      <c r="H26" s="54"/>
      <c r="I26" s="280"/>
      <c r="J26" s="54"/>
      <c r="K26" s="54"/>
      <c r="L26" s="54"/>
      <c r="M26" s="54"/>
      <c r="N26" s="280"/>
      <c r="O26" s="54"/>
      <c r="P26" s="54"/>
      <c r="Q26" s="54"/>
      <c r="R26" s="364"/>
      <c r="S26" s="280"/>
      <c r="T26" s="283"/>
      <c r="U26" s="54"/>
      <c r="V26" s="293"/>
      <c r="W26" s="294"/>
      <c r="X26" s="294"/>
      <c r="Y26" s="295"/>
    </row>
    <row r="27" spans="2:25" ht="11.25" customHeight="1" thickBot="1">
      <c r="B27" s="370"/>
      <c r="C27" s="375"/>
      <c r="D27" s="368"/>
      <c r="E27" s="281"/>
      <c r="F27" s="279"/>
      <c r="G27" s="369">
        <f>IF(D26="","",IF(D26&gt;D28,B26,B28))</f>
      </c>
      <c r="H27" s="365">
        <f>IF(ISNA(INDEX(AltSeeding!$B$5:$E$44,MATCH(AltPlayoffs!G27,AltSeeding!$B$5:$B$44,0),2)),"",INDEX(AltSeeding!$B$5:$E$44,MATCH(AltPlayoffs!G27,AltSeeding!$B$5:$B$44,0),2))</f>
      </c>
      <c r="I27" s="367"/>
      <c r="J27" s="279"/>
      <c r="K27" s="54"/>
      <c r="L27" s="54"/>
      <c r="M27" s="54"/>
      <c r="N27" s="280"/>
      <c r="O27" s="54"/>
      <c r="P27" s="54"/>
      <c r="Q27" s="54"/>
      <c r="R27" s="54"/>
      <c r="S27" s="280"/>
      <c r="T27" s="283"/>
      <c r="U27" s="54"/>
      <c r="V27" s="54"/>
      <c r="W27" s="54"/>
      <c r="X27" s="54"/>
      <c r="Y27" s="54"/>
    </row>
    <row r="28" spans="2:25" ht="11.25" customHeight="1" thickBot="1">
      <c r="B28" s="376">
        <v>14</v>
      </c>
      <c r="C28" s="365" t="str">
        <f>INDEX(AltSeeding!$B$5:$E$44,MATCH(AltPlayoffs!B28,AltSeeding!$B$5:$B$44,0),2)</f>
        <v>Touffer University</v>
      </c>
      <c r="D28" s="377"/>
      <c r="E28" s="282"/>
      <c r="F28" s="54"/>
      <c r="G28" s="370"/>
      <c r="H28" s="366"/>
      <c r="I28" s="368"/>
      <c r="J28" s="281"/>
      <c r="K28" s="54"/>
      <c r="L28" s="54"/>
      <c r="M28" s="54"/>
      <c r="N28" s="280"/>
      <c r="O28" s="54"/>
      <c r="P28" s="54"/>
      <c r="Q28" s="54"/>
      <c r="R28" s="54"/>
      <c r="S28" s="280"/>
      <c r="T28" s="283"/>
      <c r="U28" s="54"/>
      <c r="V28" s="54"/>
      <c r="W28" s="54"/>
      <c r="X28" s="54"/>
      <c r="Y28" s="54"/>
    </row>
    <row r="29" spans="2:25" ht="7.5" customHeight="1" thickBot="1">
      <c r="B29" s="370"/>
      <c r="C29" s="366"/>
      <c r="D29" s="368"/>
      <c r="E29" s="54"/>
      <c r="F29" s="54"/>
      <c r="G29" s="54"/>
      <c r="H29" s="52"/>
      <c r="I29" s="280"/>
      <c r="J29" s="283"/>
      <c r="K29" s="54"/>
      <c r="L29" s="54"/>
      <c r="M29" s="54"/>
      <c r="N29" s="280"/>
      <c r="O29" s="54"/>
      <c r="P29" s="54"/>
      <c r="Q29" s="54"/>
      <c r="R29" s="54"/>
      <c r="S29" s="280"/>
      <c r="T29" s="283"/>
      <c r="U29" s="54"/>
      <c r="V29" s="54"/>
      <c r="W29" s="54"/>
      <c r="X29" s="54"/>
      <c r="Y29" s="54"/>
    </row>
    <row r="30" spans="2:25" ht="12.75" customHeight="1">
      <c r="B30" s="34"/>
      <c r="C30" s="34" t="str">
        <f>"@ "&amp;INDEX(Teams!$B$5:$F$45,MATCH(AltPlayoffs!C26,Teams!$B$5:$B$45,0),3)</f>
        <v>@ Orange Bowl</v>
      </c>
      <c r="D30" s="284"/>
      <c r="E30" s="54"/>
      <c r="F30" s="54"/>
      <c r="G30" s="54"/>
      <c r="H30" s="364">
        <f>IF(ISNA(INDEX(Teams!$B$5:$F$45,MATCH(INDEX(AltSeeding!$B$5:$C$44,MATCH(MIN(AltPlayoffs!G27,AltPlayoffs!G33),AltSeeding!$B$5:$B$44,0),3),Teams!$B$5:$B$45,0),2)),"","@ "&amp;INDEX(Teams!$B$5:$F$45,MATCH(INDEX(AltSeeding!$B$5:$C$44,MATCH(MIN(AltPlayoffs!G27,AltPlayoffs!G33),AltSeeding!$B$5:$B$44,0),3),Teams!$B$5:$B$40,0),2))</f>
      </c>
      <c r="I30" s="280"/>
      <c r="J30" s="283"/>
      <c r="K30" s="279"/>
      <c r="L30" s="369">
        <f>IF(I27="","",IF(I27&gt;I33,G27,G33))</f>
      </c>
      <c r="M30" s="365">
        <f>IF(ISNA(INDEX(AltSeeding!$B$5:$E$44,MATCH(AltPlayoffs!L30,AltSeeding!$B$5:$B$44,0),2)),"",INDEX(AltSeeding!$B$5:$E$44,MATCH(AltPlayoffs!L30,AltSeeding!$B$5:$B$44,0),2))</f>
      </c>
      <c r="N30" s="367"/>
      <c r="O30" s="279"/>
      <c r="P30" s="54"/>
      <c r="Q30" s="54"/>
      <c r="R30" s="54"/>
      <c r="S30" s="280"/>
      <c r="T30" s="283"/>
      <c r="U30" s="54"/>
      <c r="V30" s="54"/>
      <c r="W30" s="54"/>
      <c r="X30" s="54"/>
      <c r="Y30" s="54"/>
    </row>
    <row r="31" spans="2:25" ht="11.25" customHeight="1" thickBot="1">
      <c r="B31" s="34"/>
      <c r="C31" s="34"/>
      <c r="D31" s="284"/>
      <c r="E31" s="54"/>
      <c r="F31" s="54"/>
      <c r="G31" s="54"/>
      <c r="H31" s="364"/>
      <c r="I31" s="280"/>
      <c r="J31" s="283"/>
      <c r="K31" s="54"/>
      <c r="L31" s="370"/>
      <c r="M31" s="366"/>
      <c r="N31" s="368"/>
      <c r="O31" s="281"/>
      <c r="P31" s="54"/>
      <c r="Q31" s="54"/>
      <c r="R31" s="54"/>
      <c r="S31" s="280"/>
      <c r="T31" s="283"/>
      <c r="U31" s="54"/>
      <c r="V31" s="54"/>
      <c r="W31" s="54"/>
      <c r="X31" s="54"/>
      <c r="Y31" s="54"/>
    </row>
    <row r="32" spans="2:25" ht="7.5" customHeight="1" thickBot="1">
      <c r="B32" s="369">
        <v>6</v>
      </c>
      <c r="C32" s="365" t="str">
        <f>INDEX(AltSeeding!$B$5:$E$44,MATCH(AltPlayoffs!B32,AltSeeding!$B$5:$B$44,0),2)</f>
        <v>Riversburg-Madison University</v>
      </c>
      <c r="D32" s="367"/>
      <c r="E32" s="279"/>
      <c r="F32" s="54"/>
      <c r="G32" s="54"/>
      <c r="H32" s="54"/>
      <c r="I32" s="280"/>
      <c r="J32" s="283"/>
      <c r="K32" s="54"/>
      <c r="L32" s="54"/>
      <c r="M32" s="54"/>
      <c r="N32" s="280"/>
      <c r="O32" s="283"/>
      <c r="P32" s="54"/>
      <c r="Q32" s="54"/>
      <c r="R32" s="54"/>
      <c r="S32" s="280"/>
      <c r="T32" s="283"/>
      <c r="U32" s="54"/>
      <c r="V32" s="54"/>
      <c r="W32" s="54"/>
      <c r="X32" s="54"/>
      <c r="Y32" s="54"/>
    </row>
    <row r="33" spans="2:25" ht="11.25" customHeight="1" thickBot="1">
      <c r="B33" s="370"/>
      <c r="C33" s="375"/>
      <c r="D33" s="368"/>
      <c r="E33" s="281"/>
      <c r="F33" s="279"/>
      <c r="G33" s="369">
        <f>IF(D32="","",IF(D32&gt;D34,B32,B34))</f>
      </c>
      <c r="H33" s="365">
        <f>IF(ISNA(INDEX(AltSeeding!$B$5:$E$44,MATCH(AltPlayoffs!G33,AltSeeding!$B$5:$B$44,0),2)),"",INDEX(AltSeeding!$B$5:$E$44,MATCH(AltPlayoffs!G33,AltSeeding!$B$5:$B$44,0),2))</f>
      </c>
      <c r="I33" s="367"/>
      <c r="J33" s="282"/>
      <c r="K33" s="54"/>
      <c r="L33" s="54"/>
      <c r="M33" s="54"/>
      <c r="N33" s="280"/>
      <c r="O33" s="283"/>
      <c r="P33" s="54"/>
      <c r="Q33" s="54"/>
      <c r="R33" s="54"/>
      <c r="S33" s="280"/>
      <c r="T33" s="283"/>
      <c r="U33" s="54"/>
      <c r="V33" s="54"/>
      <c r="W33" s="54"/>
      <c r="X33" s="54"/>
      <c r="Y33" s="54"/>
    </row>
    <row r="34" spans="2:25" ht="11.25" customHeight="1" thickBot="1">
      <c r="B34" s="376">
        <v>11</v>
      </c>
      <c r="C34" s="365" t="str">
        <f>INDEX(AltSeeding!$B$5:$E$44,MATCH(AltPlayoffs!B34,AltSeeding!$B$5:$B$44,0),2)</f>
        <v>University of Arkinesia</v>
      </c>
      <c r="D34" s="377"/>
      <c r="E34" s="282"/>
      <c r="F34" s="54"/>
      <c r="G34" s="370"/>
      <c r="H34" s="366"/>
      <c r="I34" s="368"/>
      <c r="J34" s="54"/>
      <c r="K34" s="54"/>
      <c r="L34" s="54"/>
      <c r="M34" s="54"/>
      <c r="N34" s="280"/>
      <c r="O34" s="283"/>
      <c r="P34" s="54"/>
      <c r="Q34" s="54"/>
      <c r="R34" s="54"/>
      <c r="S34" s="280"/>
      <c r="T34" s="283"/>
      <c r="U34" s="54"/>
      <c r="V34" s="54"/>
      <c r="W34" s="54"/>
      <c r="X34" s="54"/>
      <c r="Y34" s="54"/>
    </row>
    <row r="35" spans="2:25" ht="7.5" customHeight="1" thickBot="1">
      <c r="B35" s="370"/>
      <c r="C35" s="366"/>
      <c r="D35" s="368"/>
      <c r="E35" s="54"/>
      <c r="F35" s="54"/>
      <c r="G35" s="54"/>
      <c r="H35" s="52"/>
      <c r="I35" s="280"/>
      <c r="J35" s="54"/>
      <c r="K35" s="54"/>
      <c r="L35" s="54"/>
      <c r="M35" s="364">
        <f>IF(ISNA(INDEX(Teams!$B$5:$F$45,MATCH(INDEX(AltSeeding!$B$5:$C$44,MATCH(MIN(L30,L42),AltSeeding!$B$5:$B$44,0),3),Teams!$B$5:$B$45,0),2)),"","@ "&amp;INDEX(Teams!$B$5:$F$45,MATCH(INDEX(AltSeeding!$B$5:$C$44,MATCH(MIN(L30,L42),AltSeeding!$B$5:$B$44,0),3),Teams!$B$5:$B$40,0),2))</f>
      </c>
      <c r="N35" s="280"/>
      <c r="O35" s="283"/>
      <c r="P35" s="54"/>
      <c r="Q35" s="54"/>
      <c r="R35" s="54"/>
      <c r="S35" s="280"/>
      <c r="T35" s="283"/>
      <c r="U35" s="54"/>
      <c r="V35" s="54"/>
      <c r="W35" s="54"/>
      <c r="X35" s="54"/>
      <c r="Y35" s="54"/>
    </row>
    <row r="36" spans="2:25" ht="12.75" customHeight="1">
      <c r="B36" s="54"/>
      <c r="C36" s="34" t="str">
        <f>"@ "&amp;INDEX(Teams!$B$5:$F$45,MATCH(AltPlayoffs!C32,Teams!$B$5:$B$45,0),3)</f>
        <v>@ Anatidae Field</v>
      </c>
      <c r="D36" s="280"/>
      <c r="E36" s="54"/>
      <c r="F36" s="54"/>
      <c r="G36" s="54"/>
      <c r="H36" s="285"/>
      <c r="I36" s="280"/>
      <c r="J36" s="54"/>
      <c r="K36" s="54"/>
      <c r="L36" s="54"/>
      <c r="M36" s="364"/>
      <c r="N36" s="280"/>
      <c r="O36" s="283"/>
      <c r="P36" s="279"/>
      <c r="Q36" s="369">
        <f>IF(N30="","",IF(N30&gt;N42,L30,L42))</f>
      </c>
      <c r="R36" s="365">
        <f>IF(ISNA(INDEX(AltSeeding!$B$5:$E$39,MATCH(AltPlayoffs!Q36,AltSeeding!$B$5:$B$39,0),2)),"",INDEX(AltSeeding!$B$5:$E$39,MATCH(AltPlayoffs!Q36,AltSeeding!$B$5:$B$39,0),2))</f>
      </c>
      <c r="S36" s="367"/>
      <c r="T36" s="282"/>
      <c r="U36" s="54"/>
      <c r="V36" s="54"/>
      <c r="W36" s="54"/>
      <c r="X36" s="54"/>
      <c r="Y36" s="54"/>
    </row>
    <row r="37" spans="2:25" ht="11.25" customHeight="1" thickBot="1">
      <c r="B37" s="54"/>
      <c r="C37" s="54"/>
      <c r="D37" s="280"/>
      <c r="E37" s="54"/>
      <c r="F37" s="54"/>
      <c r="G37" s="54"/>
      <c r="H37" s="54"/>
      <c r="I37" s="280"/>
      <c r="J37" s="54"/>
      <c r="K37" s="54"/>
      <c r="L37" s="54"/>
      <c r="M37" s="364"/>
      <c r="N37" s="280"/>
      <c r="O37" s="283"/>
      <c r="P37" s="54"/>
      <c r="Q37" s="370"/>
      <c r="R37" s="366"/>
      <c r="S37" s="368"/>
      <c r="T37" s="54"/>
      <c r="U37" s="54"/>
      <c r="V37" s="54"/>
      <c r="W37" s="54"/>
      <c r="X37" s="54"/>
      <c r="Y37" s="54"/>
    </row>
    <row r="38" spans="2:25" ht="7.5" customHeight="1" thickBot="1">
      <c r="B38" s="369">
        <v>7</v>
      </c>
      <c r="C38" s="365" t="str">
        <f>INDEX(AltSeeding!$B$5:$E$44,MATCH(AltPlayoffs!B38,AltSeeding!$B$5:$B$44,0),2)</f>
        <v>Scott City University</v>
      </c>
      <c r="D38" s="367"/>
      <c r="E38" s="279"/>
      <c r="F38" s="54"/>
      <c r="G38" s="54"/>
      <c r="H38" s="54"/>
      <c r="I38" s="280"/>
      <c r="J38" s="54"/>
      <c r="K38" s="54"/>
      <c r="L38" s="54"/>
      <c r="M38" s="54"/>
      <c r="N38" s="280"/>
      <c r="O38" s="283"/>
      <c r="P38" s="54"/>
      <c r="Q38" s="54"/>
      <c r="R38" s="54"/>
      <c r="S38" s="280"/>
      <c r="T38" s="54"/>
      <c r="U38" s="54"/>
      <c r="V38" s="54"/>
      <c r="W38" s="54"/>
      <c r="X38" s="54"/>
      <c r="Y38" s="54"/>
    </row>
    <row r="39" spans="2:25" ht="11.25" customHeight="1" thickBot="1">
      <c r="B39" s="370"/>
      <c r="C39" s="375"/>
      <c r="D39" s="368"/>
      <c r="E39" s="281"/>
      <c r="F39" s="279"/>
      <c r="G39" s="369">
        <f>IF(D38="","",IF(D38&gt;D40,B38,B40))</f>
      </c>
      <c r="H39" s="365">
        <f>IF(ISNA(INDEX(AltSeeding!$B$5:$E$44,MATCH(AltPlayoffs!G39,AltSeeding!$B$5:$B$44,0),2)),"",INDEX(AltSeeding!$B$5:$E$44,MATCH(AltPlayoffs!G39,AltSeeding!$B$5:$B$44,0),2))</f>
      </c>
      <c r="I39" s="367"/>
      <c r="J39" s="279"/>
      <c r="K39" s="54"/>
      <c r="L39" s="54"/>
      <c r="M39" s="54"/>
      <c r="N39" s="280"/>
      <c r="O39" s="283"/>
      <c r="P39" s="54"/>
      <c r="Q39" s="54"/>
      <c r="R39" s="54"/>
      <c r="S39" s="280"/>
      <c r="T39" s="54"/>
      <c r="U39" s="54"/>
      <c r="V39" s="54"/>
      <c r="W39" s="54"/>
      <c r="X39" s="54"/>
      <c r="Y39" s="54"/>
    </row>
    <row r="40" spans="2:25" ht="11.25" customHeight="1" thickBot="1">
      <c r="B40" s="376">
        <v>10</v>
      </c>
      <c r="C40" s="365" t="str">
        <f>INDEX(AltSeeding!$B$5:$E$44,MATCH(AltPlayoffs!B40,AltSeeding!$B$5:$B$44,0),2)</f>
        <v>Frbiba State University</v>
      </c>
      <c r="D40" s="377"/>
      <c r="E40" s="282"/>
      <c r="F40" s="54"/>
      <c r="G40" s="370"/>
      <c r="H40" s="366"/>
      <c r="I40" s="368"/>
      <c r="J40" s="281"/>
      <c r="K40" s="54"/>
      <c r="L40" s="54"/>
      <c r="M40" s="54"/>
      <c r="N40" s="280"/>
      <c r="O40" s="283"/>
      <c r="P40" s="54"/>
      <c r="Q40" s="54"/>
      <c r="R40" s="54"/>
      <c r="S40" s="280"/>
      <c r="T40" s="54"/>
      <c r="U40" s="54"/>
      <c r="V40" s="54"/>
      <c r="W40" s="54"/>
      <c r="X40" s="54"/>
      <c r="Y40" s="54"/>
    </row>
    <row r="41" spans="2:25" ht="7.5" customHeight="1" thickBot="1">
      <c r="B41" s="370"/>
      <c r="C41" s="366"/>
      <c r="D41" s="368"/>
      <c r="E41" s="54"/>
      <c r="F41" s="54"/>
      <c r="G41" s="54"/>
      <c r="H41" s="52"/>
      <c r="I41" s="280"/>
      <c r="J41" s="283"/>
      <c r="K41" s="54"/>
      <c r="L41" s="54"/>
      <c r="M41" s="54"/>
      <c r="N41" s="280"/>
      <c r="O41" s="283"/>
      <c r="P41" s="54"/>
      <c r="Q41" s="54"/>
      <c r="R41" s="54"/>
      <c r="S41" s="280"/>
      <c r="T41" s="54"/>
      <c r="U41" s="54"/>
      <c r="V41" s="54"/>
      <c r="W41" s="54"/>
      <c r="X41" s="54"/>
      <c r="Y41" s="54"/>
    </row>
    <row r="42" spans="2:25" ht="12.75" customHeight="1">
      <c r="B42" s="34"/>
      <c r="C42" s="34" t="str">
        <f>"@ "&amp;INDEX(Teams!$B$5:$F$45,MATCH(AltPlayoffs!C38,Teams!$B$5:$B$45,0),3)</f>
        <v>@ Bronco Stadium</v>
      </c>
      <c r="D42" s="284"/>
      <c r="E42" s="54"/>
      <c r="F42" s="54"/>
      <c r="G42" s="54"/>
      <c r="H42" s="364">
        <f>IF(ISNA(INDEX(Teams!$B$5:$F$45,MATCH(INDEX(AltSeeding!$B$5:$C$44,MATCH(MIN(AltPlayoffs!G39,AltPlayoffs!G45),AltSeeding!$B$5:$B$44,0),3),Teams!$B$5:$B$45,0),2)),"","@ "&amp;INDEX(Teams!$B$5:$F$45,MATCH(INDEX(AltSeeding!$B$5:$C$44,MATCH(MIN(AltPlayoffs!G39,AltPlayoffs!G45),AltSeeding!$B$5:$B$44,0),3),Teams!$B$5:$B$40,0),2))</f>
      </c>
      <c r="I42" s="280"/>
      <c r="J42" s="283"/>
      <c r="K42" s="279"/>
      <c r="L42" s="369">
        <f>IF(I39="","",IF(I39&gt;I45,G39,G45))</f>
      </c>
      <c r="M42" s="365">
        <f>IF(ISNA(INDEX(AltSeeding!$B$5:$E$44,MATCH(AltPlayoffs!L42,AltSeeding!$B$5:$B$44,0),2)),"",INDEX(AltSeeding!$B$5:$E$44,MATCH(AltPlayoffs!L42,AltSeeding!$B$5:$B$44,0),2))</f>
      </c>
      <c r="N42" s="367"/>
      <c r="O42" s="282"/>
      <c r="P42" s="54"/>
      <c r="Q42" s="54"/>
      <c r="R42" s="54"/>
      <c r="S42" s="280"/>
      <c r="T42" s="54"/>
      <c r="U42" s="54"/>
      <c r="V42" s="54"/>
      <c r="W42" s="54"/>
      <c r="X42" s="54"/>
      <c r="Y42" s="54"/>
    </row>
    <row r="43" spans="2:25" ht="11.25" customHeight="1" thickBot="1">
      <c r="B43" s="34"/>
      <c r="C43" s="34"/>
      <c r="D43" s="284"/>
      <c r="E43" s="54"/>
      <c r="F43" s="54"/>
      <c r="G43" s="54"/>
      <c r="H43" s="364"/>
      <c r="I43" s="280"/>
      <c r="J43" s="283"/>
      <c r="K43" s="54"/>
      <c r="L43" s="370"/>
      <c r="M43" s="366"/>
      <c r="N43" s="368"/>
      <c r="O43" s="54"/>
      <c r="P43" s="54"/>
      <c r="Q43" s="54"/>
      <c r="R43" s="54"/>
      <c r="S43" s="280"/>
      <c r="T43" s="54"/>
      <c r="U43" s="54"/>
      <c r="V43" s="54"/>
      <c r="W43" s="54"/>
      <c r="X43" s="54"/>
      <c r="Y43" s="54"/>
    </row>
    <row r="44" spans="2:25" ht="7.5" customHeight="1" thickBot="1">
      <c r="B44" s="369">
        <v>2</v>
      </c>
      <c r="C44" s="365" t="str">
        <f>INDEX(AltSeeding!$B$5:$E$44,MATCH(AltPlayoffs!B44,AltSeeding!$B$5:$B$44,0),2)</f>
        <v>Ramusok Capital University</v>
      </c>
      <c r="D44" s="367"/>
      <c r="E44" s="279"/>
      <c r="F44" s="54"/>
      <c r="G44" s="54"/>
      <c r="H44" s="54"/>
      <c r="I44" s="280"/>
      <c r="J44" s="283"/>
      <c r="K44" s="54"/>
      <c r="L44" s="54"/>
      <c r="M44" s="54"/>
      <c r="N44" s="280"/>
      <c r="O44" s="54"/>
      <c r="P44" s="54"/>
      <c r="Q44" s="54"/>
      <c r="R44" s="54"/>
      <c r="S44" s="280"/>
      <c r="T44" s="54"/>
      <c r="U44" s="54"/>
      <c r="V44" s="54"/>
      <c r="W44" s="54"/>
      <c r="X44" s="54"/>
      <c r="Y44" s="54"/>
    </row>
    <row r="45" spans="2:25" ht="11.25" customHeight="1" thickBot="1">
      <c r="B45" s="370"/>
      <c r="C45" s="375"/>
      <c r="D45" s="368"/>
      <c r="E45" s="281"/>
      <c r="F45" s="279"/>
      <c r="G45" s="369">
        <f>IF(D44="","",IF(D44&gt;D46,B44,B46))</f>
      </c>
      <c r="H45" s="365">
        <f>IF(ISNA(INDEX(AltSeeding!$B$5:$E$44,MATCH(AltPlayoffs!G45,AltSeeding!$B$5:$B$44,0),2)),"",INDEX(AltSeeding!$B$5:$E$44,MATCH(AltPlayoffs!G45,AltSeeding!$B$5:$B$44,0),2))</f>
      </c>
      <c r="I45" s="367"/>
      <c r="J45" s="282"/>
      <c r="K45" s="54"/>
      <c r="L45" s="54"/>
      <c r="M45" s="54"/>
      <c r="N45" s="280"/>
      <c r="O45" s="54"/>
      <c r="P45" s="54"/>
      <c r="Q45" s="54"/>
      <c r="R45" s="54"/>
      <c r="S45" s="280"/>
      <c r="T45" s="54"/>
      <c r="U45" s="54"/>
      <c r="V45" s="54"/>
      <c r="W45" s="54"/>
      <c r="X45" s="54"/>
      <c r="Y45" s="54"/>
    </row>
    <row r="46" spans="2:25" ht="11.25" customHeight="1" thickBot="1">
      <c r="B46" s="376">
        <v>15</v>
      </c>
      <c r="C46" s="365" t="str">
        <f>INDEX(AltSeeding!$B$5:$E$44,MATCH(AltPlayoffs!B46,AltSeeding!$B$5:$B$44,0),2)</f>
        <v>Tim City University</v>
      </c>
      <c r="D46" s="377"/>
      <c r="E46" s="282"/>
      <c r="F46" s="54"/>
      <c r="G46" s="370"/>
      <c r="H46" s="366"/>
      <c r="I46" s="368"/>
      <c r="J46" s="54"/>
      <c r="K46" s="54"/>
      <c r="L46" s="54"/>
      <c r="M46" s="54"/>
      <c r="N46" s="280"/>
      <c r="O46" s="54"/>
      <c r="P46" s="54"/>
      <c r="Q46" s="54"/>
      <c r="R46" s="54"/>
      <c r="S46" s="280"/>
      <c r="T46" s="54"/>
      <c r="U46" s="54"/>
      <c r="V46" s="54"/>
      <c r="W46" s="54"/>
      <c r="X46" s="54"/>
      <c r="Y46" s="54"/>
    </row>
    <row r="47" spans="2:25" ht="7.5" customHeight="1" thickBot="1">
      <c r="B47" s="370"/>
      <c r="C47" s="366"/>
      <c r="D47" s="368"/>
      <c r="E47" s="54"/>
      <c r="F47" s="54"/>
      <c r="G47" s="54"/>
      <c r="H47" s="373"/>
      <c r="I47" s="280"/>
      <c r="J47" s="54"/>
      <c r="K47" s="54"/>
      <c r="L47" s="54"/>
      <c r="M47" s="54"/>
      <c r="N47" s="280"/>
      <c r="O47" s="54"/>
      <c r="P47" s="54"/>
      <c r="Q47" s="54"/>
      <c r="R47" s="54"/>
      <c r="S47" s="280"/>
      <c r="T47" s="54"/>
      <c r="U47" s="54"/>
      <c r="V47" s="54"/>
      <c r="W47" s="54"/>
      <c r="X47" s="54"/>
      <c r="Y47" s="54"/>
    </row>
    <row r="48" spans="3:8" ht="12.75" customHeight="1">
      <c r="C48" s="34" t="str">
        <f>"@ "&amp;INDEX(Teams!$B$5:$F$45,MATCH(AltPlayoffs!C44,Teams!$B$5:$B$45,0),3)</f>
        <v>@ Capital Coliseum</v>
      </c>
      <c r="H48" s="374"/>
    </row>
  </sheetData>
  <mergeCells count="102">
    <mergeCell ref="H45:H46"/>
    <mergeCell ref="I45:I46"/>
    <mergeCell ref="B46:B47"/>
    <mergeCell ref="C46:C47"/>
    <mergeCell ref="D46:D47"/>
    <mergeCell ref="H47:H48"/>
    <mergeCell ref="B44:B45"/>
    <mergeCell ref="C44:C45"/>
    <mergeCell ref="D44:D45"/>
    <mergeCell ref="G45:G46"/>
    <mergeCell ref="H42:H43"/>
    <mergeCell ref="L42:L43"/>
    <mergeCell ref="M42:M43"/>
    <mergeCell ref="N42:N43"/>
    <mergeCell ref="S36:S37"/>
    <mergeCell ref="B38:B39"/>
    <mergeCell ref="C38:C39"/>
    <mergeCell ref="D38:D39"/>
    <mergeCell ref="G39:G40"/>
    <mergeCell ref="H39:H40"/>
    <mergeCell ref="I39:I40"/>
    <mergeCell ref="B40:B41"/>
    <mergeCell ref="C40:C41"/>
    <mergeCell ref="D40:D41"/>
    <mergeCell ref="D34:D35"/>
    <mergeCell ref="M35:M37"/>
    <mergeCell ref="Q36:Q37"/>
    <mergeCell ref="R36:R37"/>
    <mergeCell ref="M30:M31"/>
    <mergeCell ref="N30:N31"/>
    <mergeCell ref="B32:B33"/>
    <mergeCell ref="C32:C33"/>
    <mergeCell ref="D32:D33"/>
    <mergeCell ref="G33:G34"/>
    <mergeCell ref="H33:H34"/>
    <mergeCell ref="I33:I34"/>
    <mergeCell ref="B34:B35"/>
    <mergeCell ref="C34:C35"/>
    <mergeCell ref="C28:C29"/>
    <mergeCell ref="D28:D29"/>
    <mergeCell ref="H30:H31"/>
    <mergeCell ref="L30:L31"/>
    <mergeCell ref="R23:R26"/>
    <mergeCell ref="W24:W25"/>
    <mergeCell ref="X24:X25"/>
    <mergeCell ref="B26:B27"/>
    <mergeCell ref="C26:C27"/>
    <mergeCell ref="D26:D27"/>
    <mergeCell ref="G27:G28"/>
    <mergeCell ref="H27:H28"/>
    <mergeCell ref="I27:I28"/>
    <mergeCell ref="B28:B29"/>
    <mergeCell ref="H21:H22"/>
    <mergeCell ref="I21:I22"/>
    <mergeCell ref="R21:R22"/>
    <mergeCell ref="W21:X22"/>
    <mergeCell ref="B20:B21"/>
    <mergeCell ref="C20:C21"/>
    <mergeCell ref="D20:D21"/>
    <mergeCell ref="G21:G22"/>
    <mergeCell ref="B22:B23"/>
    <mergeCell ref="C22:C23"/>
    <mergeCell ref="D22:D23"/>
    <mergeCell ref="H18:H19"/>
    <mergeCell ref="L18:L19"/>
    <mergeCell ref="M18:M19"/>
    <mergeCell ref="N18:N19"/>
    <mergeCell ref="H15:H16"/>
    <mergeCell ref="I15:I16"/>
    <mergeCell ref="B16:B17"/>
    <mergeCell ref="C16:C17"/>
    <mergeCell ref="D16:D17"/>
    <mergeCell ref="B14:B15"/>
    <mergeCell ref="C14:C15"/>
    <mergeCell ref="D14:D15"/>
    <mergeCell ref="G15:G16"/>
    <mergeCell ref="M11:M13"/>
    <mergeCell ref="Q12:Q13"/>
    <mergeCell ref="R12:R13"/>
    <mergeCell ref="S12:S13"/>
    <mergeCell ref="H9:H10"/>
    <mergeCell ref="I9:I10"/>
    <mergeCell ref="B10:B11"/>
    <mergeCell ref="C10:C11"/>
    <mergeCell ref="D10:D11"/>
    <mergeCell ref="B8:B9"/>
    <mergeCell ref="C8:C9"/>
    <mergeCell ref="D8:D9"/>
    <mergeCell ref="G9:G10"/>
    <mergeCell ref="H6:H7"/>
    <mergeCell ref="L6:L7"/>
    <mergeCell ref="M6:M7"/>
    <mergeCell ref="N6:N7"/>
    <mergeCell ref="H3:H4"/>
    <mergeCell ref="I3:I4"/>
    <mergeCell ref="B4:B5"/>
    <mergeCell ref="C4:C5"/>
    <mergeCell ref="D4:D5"/>
    <mergeCell ref="B2:B3"/>
    <mergeCell ref="C2:C3"/>
    <mergeCell ref="D2:D3"/>
    <mergeCell ref="G3:G4"/>
  </mergeCells>
  <conditionalFormatting sqref="I45:I46 I39:I40 I33:I34 I27:I28 I21:I22 I15:I16 I9:I10 I3:I4 N6:N7 N18:N19 N30:N31 N42:N43 S36:S37 S12:S13 D2:D4 D44:D47 D38:D41 D32:D35 D26:D29 D20:D23 D14:D17 D8:D11">
    <cfRule type="cellIs" priority="1" dxfId="4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Y48"/>
  <sheetViews>
    <sheetView tabSelected="1" workbookViewId="0" topLeftCell="E1">
      <selection activeCell="X36" sqref="X36"/>
    </sheetView>
  </sheetViews>
  <sheetFormatPr defaultColWidth="9.140625" defaultRowHeight="12.75"/>
  <cols>
    <col min="1" max="1" width="1.421875" style="48" customWidth="1"/>
    <col min="2" max="2" width="4.28125" style="48" customWidth="1"/>
    <col min="3" max="3" width="28.57421875" style="48" customWidth="1"/>
    <col min="4" max="4" width="5.7109375" style="71" customWidth="1"/>
    <col min="5" max="6" width="5.7109375" style="48" customWidth="1"/>
    <col min="7" max="7" width="4.28125" style="48" customWidth="1"/>
    <col min="8" max="8" width="28.57421875" style="48" customWidth="1"/>
    <col min="9" max="9" width="5.7109375" style="71" customWidth="1"/>
    <col min="10" max="11" width="5.7109375" style="48" customWidth="1"/>
    <col min="12" max="12" width="4.28125" style="48" customWidth="1"/>
    <col min="13" max="13" width="28.57421875" style="48" customWidth="1"/>
    <col min="14" max="14" width="5.7109375" style="71" customWidth="1"/>
    <col min="15" max="16" width="5.7109375" style="48" customWidth="1"/>
    <col min="17" max="17" width="4.28125" style="48" customWidth="1"/>
    <col min="18" max="18" width="28.57421875" style="48" customWidth="1"/>
    <col min="19" max="19" width="5.7109375" style="71" customWidth="1"/>
    <col min="20" max="21" width="5.7109375" style="48" customWidth="1"/>
    <col min="22" max="22" width="1.421875" style="48" customWidth="1"/>
    <col min="23" max="23" width="4.28125" style="48" customWidth="1"/>
    <col min="24" max="24" width="28.57421875" style="48" customWidth="1"/>
    <col min="25" max="25" width="1.421875" style="48" customWidth="1"/>
    <col min="26" max="16384" width="9.140625" style="71" customWidth="1"/>
  </cols>
  <sheetData>
    <row r="1" ht="7.5" customHeight="1" thickBot="1"/>
    <row r="2" spans="2:25" ht="6.75" customHeight="1" thickBot="1">
      <c r="B2" s="369">
        <v>1</v>
      </c>
      <c r="C2" s="365" t="str">
        <f>INDEX(AltSeeding!$E$5:$F$44,MATCH(OSNPlayoffs!B2,AltSeeding!$E$5:$E$44,0),2)</f>
        <v>University of Port Salem</v>
      </c>
      <c r="D2" s="367">
        <v>23</v>
      </c>
      <c r="E2" s="279"/>
      <c r="F2" s="54"/>
      <c r="G2" s="54"/>
      <c r="H2" s="54"/>
      <c r="I2" s="280"/>
      <c r="J2" s="54"/>
      <c r="K2" s="54"/>
      <c r="L2" s="54"/>
      <c r="M2" s="54"/>
      <c r="N2" s="280"/>
      <c r="O2" s="54"/>
      <c r="P2" s="54"/>
      <c r="Q2" s="54"/>
      <c r="R2" s="54"/>
      <c r="S2" s="280"/>
      <c r="T2" s="54"/>
      <c r="U2" s="54"/>
      <c r="V2" s="54"/>
      <c r="W2" s="54"/>
      <c r="X2" s="54"/>
      <c r="Y2" s="54"/>
    </row>
    <row r="3" spans="2:25" ht="11.25" customHeight="1" thickBot="1">
      <c r="B3" s="378"/>
      <c r="C3" s="375"/>
      <c r="D3" s="379"/>
      <c r="E3" s="281"/>
      <c r="F3" s="279"/>
      <c r="G3" s="369">
        <f>IF(D2="","",IF(D2&gt;D4,B2,B4))</f>
        <v>1</v>
      </c>
      <c r="H3" s="365" t="str">
        <f>IF(ISNA(INDEX(AltSeeding!$E$5:$F$44,MATCH(OSNPlayoffs!G3,AltSeeding!$E$5:$E$44,0),2)),"",INDEX(AltSeeding!$E$5:$F$44,MATCH(OSNPlayoffs!G3,AltSeeding!$E$5:$E$44,0),2))</f>
        <v>University of Port Salem</v>
      </c>
      <c r="I3" s="367">
        <v>3</v>
      </c>
      <c r="J3" s="279"/>
      <c r="K3" s="54"/>
      <c r="L3" s="54"/>
      <c r="M3" s="54"/>
      <c r="N3" s="280"/>
      <c r="O3" s="54"/>
      <c r="P3" s="54"/>
      <c r="Q3" s="54"/>
      <c r="R3" s="54"/>
      <c r="S3" s="280"/>
      <c r="T3" s="54"/>
      <c r="U3" s="54"/>
      <c r="V3" s="54"/>
      <c r="W3" s="54"/>
      <c r="X3" s="54"/>
      <c r="Y3" s="54"/>
    </row>
    <row r="4" spans="2:25" ht="11.25" customHeight="1" thickBot="1">
      <c r="B4" s="369">
        <v>16</v>
      </c>
      <c r="C4" s="365" t="str">
        <f>INDEX(AltSeeding!$E$5:$F$44,MATCH(OSNPlayoffs!B4,AltSeeding!$E$5:$E$44,0),2)</f>
        <v>Tim City University</v>
      </c>
      <c r="D4" s="380">
        <v>14</v>
      </c>
      <c r="E4" s="282"/>
      <c r="F4" s="54"/>
      <c r="G4" s="370"/>
      <c r="H4" s="366"/>
      <c r="I4" s="368"/>
      <c r="J4" s="281"/>
      <c r="K4" s="54"/>
      <c r="L4" s="54"/>
      <c r="M4" s="54"/>
      <c r="N4" s="280"/>
      <c r="O4" s="54"/>
      <c r="P4" s="54"/>
      <c r="Q4" s="54"/>
      <c r="R4" s="54"/>
      <c r="S4" s="280"/>
      <c r="T4" s="54"/>
      <c r="U4" s="54"/>
      <c r="V4" s="54"/>
      <c r="W4" s="54"/>
      <c r="X4" s="54"/>
      <c r="Y4" s="54"/>
    </row>
    <row r="5" spans="2:25" ht="7.5" customHeight="1" thickBot="1">
      <c r="B5" s="370"/>
      <c r="C5" s="366"/>
      <c r="D5" s="381"/>
      <c r="E5" s="54"/>
      <c r="F5" s="54"/>
      <c r="G5" s="54"/>
      <c r="H5" s="52"/>
      <c r="I5" s="280"/>
      <c r="J5" s="283"/>
      <c r="K5" s="54"/>
      <c r="L5" s="54"/>
      <c r="M5" s="54"/>
      <c r="N5" s="280"/>
      <c r="O5" s="54"/>
      <c r="P5" s="54"/>
      <c r="Q5" s="54"/>
      <c r="R5" s="54"/>
      <c r="S5" s="280"/>
      <c r="T5" s="54"/>
      <c r="U5" s="54"/>
      <c r="V5" s="54"/>
      <c r="W5" s="54"/>
      <c r="X5" s="54"/>
      <c r="Y5" s="54"/>
    </row>
    <row r="6" spans="2:25" ht="12.75" customHeight="1">
      <c r="B6" s="34"/>
      <c r="C6" s="34" t="str">
        <f>"@ "&amp;INDEX(Teams!$B$5:$F$45,MATCH(OSNPlayoffs!C2,Teams!$B$5:$B$45,0),3)</f>
        <v>@ ATD Park</v>
      </c>
      <c r="D6" s="284"/>
      <c r="E6" s="54"/>
      <c r="F6" s="54"/>
      <c r="G6" s="54"/>
      <c r="H6" s="364" t="str">
        <f>IF(ISNA(INDEX(Teams!$B$5:$F$45,MATCH(INDEX(AltSeeding!$E$5:$F$44,MATCH(MIN(OSNPlayoffs!G3,OSNPlayoffs!G9),AltSeeding!$E$5:$E$44,0),2),Teams!$B$5:$B$45,0),3)),"","@ "&amp;INDEX(Teams!$B$5:$F$45,MATCH(INDEX(AltSeeding!$E$5:$F$44,MATCH(MIN(OSNPlayoffs!G3,OSNPlayoffs!G9),AltSeeding!$E$5:$E$44,0),2),Teams!$B$5:$B$40,0),3))</f>
        <v>@ ATD Park</v>
      </c>
      <c r="I6" s="280"/>
      <c r="J6" s="283"/>
      <c r="K6" s="279"/>
      <c r="L6" s="369">
        <f>IF(I3="","",IF(I3&gt;I9,G3,G9))</f>
        <v>9</v>
      </c>
      <c r="M6" s="365" t="str">
        <f>IF(ISNA(INDEX(AltSeeding!$E$5:$F$44,MATCH(OSNPlayoffs!L6,AltSeeding!$E$5:$E$44,0),2)),"",INDEX(AltSeeding!$E$5:$F$44,MATCH(OSNPlayoffs!L6,AltSeeding!$E$5:$E$44,0),2))</f>
        <v>University of St. John's Island</v>
      </c>
      <c r="N6" s="367">
        <v>24</v>
      </c>
      <c r="O6" s="279"/>
      <c r="P6" s="54"/>
      <c r="Q6" s="54"/>
      <c r="R6" s="54"/>
      <c r="S6" s="280"/>
      <c r="T6" s="54"/>
      <c r="U6" s="54"/>
      <c r="V6" s="54"/>
      <c r="W6" s="54"/>
      <c r="X6" s="54"/>
      <c r="Y6" s="54"/>
    </row>
    <row r="7" spans="2:25" ht="11.25" customHeight="1" thickBot="1">
      <c r="B7" s="34"/>
      <c r="C7" s="34"/>
      <c r="D7" s="284"/>
      <c r="E7" s="54"/>
      <c r="F7" s="54"/>
      <c r="G7" s="54"/>
      <c r="H7" s="364"/>
      <c r="I7" s="280"/>
      <c r="J7" s="283"/>
      <c r="K7" s="54"/>
      <c r="L7" s="370"/>
      <c r="M7" s="366"/>
      <c r="N7" s="368"/>
      <c r="O7" s="281"/>
      <c r="P7" s="54"/>
      <c r="Q7" s="54"/>
      <c r="R7" s="54"/>
      <c r="S7" s="280"/>
      <c r="T7" s="54"/>
      <c r="U7" s="54"/>
      <c r="V7" s="54"/>
      <c r="W7" s="54"/>
      <c r="X7" s="54"/>
      <c r="Y7" s="54"/>
    </row>
    <row r="8" spans="2:25" ht="7.5" customHeight="1" thickBot="1">
      <c r="B8" s="369">
        <v>8</v>
      </c>
      <c r="C8" s="365" t="str">
        <f>INDEX(AltSeeding!$E$5:$F$44,MATCH(OSNPlayoffs!B8,AltSeeding!$E$5:$E$44,0),2)</f>
        <v>Frbiba State University</v>
      </c>
      <c r="D8" s="367">
        <v>3</v>
      </c>
      <c r="E8" s="279"/>
      <c r="F8" s="54"/>
      <c r="G8" s="54"/>
      <c r="H8" s="54"/>
      <c r="I8" s="280"/>
      <c r="J8" s="283"/>
      <c r="K8" s="54"/>
      <c r="L8" s="54"/>
      <c r="M8" s="54"/>
      <c r="N8" s="280"/>
      <c r="O8" s="283"/>
      <c r="P8" s="54"/>
      <c r="Q8" s="54"/>
      <c r="R8" s="54"/>
      <c r="S8" s="280"/>
      <c r="T8" s="54"/>
      <c r="U8" s="54"/>
      <c r="V8" s="54"/>
      <c r="W8" s="54"/>
      <c r="X8" s="54"/>
      <c r="Y8" s="54"/>
    </row>
    <row r="9" spans="2:25" ht="11.25" customHeight="1" thickBot="1">
      <c r="B9" s="378"/>
      <c r="C9" s="375"/>
      <c r="D9" s="379"/>
      <c r="E9" s="281"/>
      <c r="F9" s="279"/>
      <c r="G9" s="369">
        <f>IF(D8="","",IF(D8&gt;D10,B8,B10))</f>
        <v>9</v>
      </c>
      <c r="H9" s="365" t="str">
        <f>IF(ISNA(INDEX(AltSeeding!$E$5:$F$44,MATCH(OSNPlayoffs!G9,AltSeeding!$E$5:$E$44,0),2)),"",INDEX(AltSeeding!$E$5:$F$44,MATCH(OSNPlayoffs!G9,AltSeeding!$E$5:$E$44,0),2))</f>
        <v>University of St. John's Island</v>
      </c>
      <c r="I9" s="367">
        <v>30</v>
      </c>
      <c r="J9" s="282"/>
      <c r="K9" s="54"/>
      <c r="L9" s="54"/>
      <c r="M9" s="54"/>
      <c r="N9" s="280"/>
      <c r="O9" s="283"/>
      <c r="P9" s="54"/>
      <c r="Q9" s="54"/>
      <c r="R9" s="54"/>
      <c r="S9" s="280"/>
      <c r="T9" s="54"/>
      <c r="U9" s="54"/>
      <c r="V9" s="54"/>
      <c r="W9" s="54"/>
      <c r="X9" s="54"/>
      <c r="Y9" s="54"/>
    </row>
    <row r="10" spans="2:25" ht="11.25" customHeight="1" thickBot="1">
      <c r="B10" s="369">
        <v>9</v>
      </c>
      <c r="C10" s="365" t="str">
        <f>INDEX(AltSeeding!$E$5:$F$44,MATCH(OSNPlayoffs!B10,AltSeeding!$E$5:$E$44,0),2)</f>
        <v>University of St. John's Island</v>
      </c>
      <c r="D10" s="367">
        <v>7</v>
      </c>
      <c r="E10" s="282"/>
      <c r="F10" s="54"/>
      <c r="G10" s="370"/>
      <c r="H10" s="366"/>
      <c r="I10" s="368"/>
      <c r="J10" s="54"/>
      <c r="K10" s="54"/>
      <c r="L10" s="54"/>
      <c r="M10" s="54"/>
      <c r="N10" s="280"/>
      <c r="O10" s="283"/>
      <c r="P10" s="54"/>
      <c r="Q10" s="54"/>
      <c r="R10" s="54"/>
      <c r="S10" s="280"/>
      <c r="T10" s="54"/>
      <c r="U10" s="54"/>
      <c r="V10" s="54"/>
      <c r="W10" s="54"/>
      <c r="X10" s="54"/>
      <c r="Y10" s="54"/>
    </row>
    <row r="11" spans="2:25" ht="7.5" customHeight="1" thickBot="1">
      <c r="B11" s="370"/>
      <c r="C11" s="366"/>
      <c r="D11" s="368"/>
      <c r="E11" s="54"/>
      <c r="F11" s="54"/>
      <c r="G11" s="54"/>
      <c r="H11" s="52"/>
      <c r="I11" s="280"/>
      <c r="J11" s="54"/>
      <c r="K11" s="54"/>
      <c r="L11" s="54"/>
      <c r="M11" s="364" t="str">
        <f>IF(ISNA(INDEX(Teams!$B$5:$F$45,MATCH(INDEX(AltSeeding!$E$5:$F$44,MATCH(MIN(L6,L18),AltSeeding!$E$5:$E$44,0),2),Teams!$B$5:$B$45,0),3)),"","@ "&amp;INDEX(Teams!$B$5:$F$45,MATCH(INDEX(AltSeeding!$E$5:$F$44,MATCH(MIN(L6,L18),AltSeeding!$E$5:$E$44,0),2),Teams!$B$5:$B$40,0),3))</f>
        <v>@ St John's Castle</v>
      </c>
      <c r="N11" s="280"/>
      <c r="O11" s="283"/>
      <c r="P11" s="54"/>
      <c r="Q11" s="54"/>
      <c r="R11" s="54"/>
      <c r="S11" s="280"/>
      <c r="T11" s="54"/>
      <c r="U11" s="54"/>
      <c r="V11" s="54"/>
      <c r="W11" s="54"/>
      <c r="X11" s="54"/>
      <c r="Y11" s="54"/>
    </row>
    <row r="12" spans="2:25" ht="12.75" customHeight="1">
      <c r="B12" s="54"/>
      <c r="C12" s="34" t="str">
        <f>"@ "&amp;INDEX(Teams!$B$5:$F$45,MATCH(OSNPlayoffs!C8,Teams!$B$5:$B$45,0),3)</f>
        <v>@ Red Plains Stadium</v>
      </c>
      <c r="D12" s="280"/>
      <c r="E12" s="54"/>
      <c r="F12" s="54"/>
      <c r="G12" s="54"/>
      <c r="H12" s="285"/>
      <c r="I12" s="280"/>
      <c r="J12" s="54"/>
      <c r="K12" s="54"/>
      <c r="L12" s="54"/>
      <c r="M12" s="364"/>
      <c r="N12" s="280"/>
      <c r="O12" s="283"/>
      <c r="P12" s="279"/>
      <c r="Q12" s="369">
        <f>IF(N6="","",IF(N6&gt;N18,L6,L18))</f>
        <v>13</v>
      </c>
      <c r="R12" s="365" t="str">
        <f>IF(ISNA(INDEX(AltSeeding!$E$5:$F$39,MATCH(OSNPlayoffs!Q12,AltSeeding!$E$5:$E$39,0),2)),"",INDEX(AltSeeding!$E$5:$F$39,MATCH(OSNPlayoffs!Q12,AltSeeding!$E$5:$E$39,0),2))</f>
        <v>University of Arkinesia</v>
      </c>
      <c r="S12" s="367">
        <v>19</v>
      </c>
      <c r="T12" s="279"/>
      <c r="U12" s="54"/>
      <c r="V12" s="54"/>
      <c r="W12" s="54"/>
      <c r="X12" s="54"/>
      <c r="Y12" s="54"/>
    </row>
    <row r="13" spans="2:25" ht="11.25" customHeight="1" thickBot="1">
      <c r="B13" s="54"/>
      <c r="C13" s="54"/>
      <c r="D13" s="280"/>
      <c r="E13" s="54"/>
      <c r="F13" s="54"/>
      <c r="G13" s="54"/>
      <c r="H13" s="285"/>
      <c r="I13" s="280"/>
      <c r="J13" s="54"/>
      <c r="K13" s="54"/>
      <c r="L13" s="54"/>
      <c r="M13" s="364"/>
      <c r="N13" s="280"/>
      <c r="O13" s="283"/>
      <c r="P13" s="54"/>
      <c r="Q13" s="370"/>
      <c r="R13" s="366"/>
      <c r="S13" s="368"/>
      <c r="T13" s="281"/>
      <c r="U13" s="54"/>
      <c r="V13" s="54"/>
      <c r="W13" s="54"/>
      <c r="X13" s="54"/>
      <c r="Y13" s="54"/>
    </row>
    <row r="14" spans="2:25" ht="7.5" customHeight="1" thickBot="1">
      <c r="B14" s="369">
        <v>4</v>
      </c>
      <c r="C14" s="365" t="str">
        <f>INDEX(AltSeeding!$E$5:$F$44,MATCH(OSNPlayoffs!B14,AltSeeding!$E$5:$E$44,0),2)</f>
        <v>University of Alzburg-Dyka</v>
      </c>
      <c r="D14" s="367">
        <v>20</v>
      </c>
      <c r="E14" s="279"/>
      <c r="F14" s="54"/>
      <c r="G14" s="54"/>
      <c r="H14" s="54"/>
      <c r="I14" s="280"/>
      <c r="J14" s="54"/>
      <c r="K14" s="54"/>
      <c r="L14" s="54"/>
      <c r="M14" s="54"/>
      <c r="N14" s="280"/>
      <c r="O14" s="283"/>
      <c r="P14" s="54"/>
      <c r="Q14" s="54"/>
      <c r="R14" s="54"/>
      <c r="S14" s="280"/>
      <c r="T14" s="283"/>
      <c r="U14" s="54"/>
      <c r="V14" s="54"/>
      <c r="W14" s="54"/>
      <c r="X14" s="54"/>
      <c r="Y14" s="54"/>
    </row>
    <row r="15" spans="2:25" ht="11.25" customHeight="1" thickBot="1">
      <c r="B15" s="378"/>
      <c r="C15" s="375"/>
      <c r="D15" s="379"/>
      <c r="E15" s="281"/>
      <c r="F15" s="279"/>
      <c r="G15" s="369">
        <f>IF(D14="","",IF(D14&gt;D16,B14,B16))</f>
        <v>13</v>
      </c>
      <c r="H15" s="365" t="str">
        <f>IF(ISNA(INDEX(AltSeeding!$E$5:$F$44,MATCH(OSNPlayoffs!G15,AltSeeding!$E$5:$E$44,0),2)),"",INDEX(AltSeeding!$E$5:$F$44,MATCH(OSNPlayoffs!G15,AltSeeding!$E$5:$E$44,0),2))</f>
        <v>University of Arkinesia</v>
      </c>
      <c r="I15" s="367">
        <v>13</v>
      </c>
      <c r="J15" s="279"/>
      <c r="K15" s="54"/>
      <c r="L15" s="54"/>
      <c r="M15" s="54"/>
      <c r="N15" s="280"/>
      <c r="O15" s="283"/>
      <c r="P15" s="54"/>
      <c r="Q15" s="54"/>
      <c r="R15" s="54"/>
      <c r="S15" s="280"/>
      <c r="T15" s="283"/>
      <c r="U15" s="54"/>
      <c r="V15" s="54"/>
      <c r="W15" s="54"/>
      <c r="X15" s="54"/>
      <c r="Y15" s="54"/>
    </row>
    <row r="16" spans="2:25" ht="11.25" customHeight="1" thickBot="1">
      <c r="B16" s="369">
        <v>13</v>
      </c>
      <c r="C16" s="365" t="str">
        <f>INDEX(AltSeeding!$E$5:$F$44,MATCH(OSNPlayoffs!B16,AltSeeding!$E$5:$E$44,0),2)</f>
        <v>University of Arkinesia</v>
      </c>
      <c r="D16" s="367">
        <v>31</v>
      </c>
      <c r="E16" s="282"/>
      <c r="F16" s="54"/>
      <c r="G16" s="370"/>
      <c r="H16" s="366"/>
      <c r="I16" s="368"/>
      <c r="J16" s="281"/>
      <c r="K16" s="54"/>
      <c r="L16" s="54"/>
      <c r="M16" s="54"/>
      <c r="N16" s="280"/>
      <c r="O16" s="283"/>
      <c r="P16" s="54"/>
      <c r="Q16" s="54"/>
      <c r="R16" s="54"/>
      <c r="S16" s="280"/>
      <c r="T16" s="283"/>
      <c r="U16" s="54"/>
      <c r="V16" s="54"/>
      <c r="W16" s="54"/>
      <c r="X16" s="54"/>
      <c r="Y16" s="54"/>
    </row>
    <row r="17" spans="2:25" ht="7.5" customHeight="1" thickBot="1">
      <c r="B17" s="370"/>
      <c r="C17" s="366"/>
      <c r="D17" s="368"/>
      <c r="E17" s="54"/>
      <c r="F17" s="54"/>
      <c r="G17" s="54"/>
      <c r="H17" s="52"/>
      <c r="I17" s="280"/>
      <c r="J17" s="283"/>
      <c r="K17" s="54"/>
      <c r="L17" s="54"/>
      <c r="M17" s="54"/>
      <c r="N17" s="280"/>
      <c r="O17" s="283"/>
      <c r="P17" s="54"/>
      <c r="Q17" s="54"/>
      <c r="R17" s="54"/>
      <c r="S17" s="280"/>
      <c r="T17" s="283"/>
      <c r="U17" s="54"/>
      <c r="V17" s="54"/>
      <c r="W17" s="54"/>
      <c r="X17" s="54"/>
      <c r="Y17" s="54"/>
    </row>
    <row r="18" spans="2:25" ht="12.75" customHeight="1">
      <c r="B18" s="34"/>
      <c r="C18" s="34" t="str">
        <f>"@ "&amp;INDEX(Teams!$B$5:$F$45,MATCH(OSNPlayoffs!C14,Teams!$B$5:$B$45,0),3)</f>
        <v>@ Tiegemburg Park</v>
      </c>
      <c r="D18" s="284"/>
      <c r="E18" s="54"/>
      <c r="F18" s="54"/>
      <c r="G18" s="54"/>
      <c r="H18" s="364" t="str">
        <f>IF(ISNA(INDEX(Teams!$B$5:$F$45,MATCH(INDEX(AltSeeding!$E$5:$F$44,MATCH(MIN(OSNPlayoffs!G15,OSNPlayoffs!G21),AltSeeding!$E$5:$E$44,0),2),Teams!$B$5:$B$45,0),3)),"","@ "&amp;INDEX(Teams!$B$5:$F$45,MATCH(INDEX(AltSeeding!$E$5:$F$44,MATCH(MIN(OSNPlayoffs!G15,OSNPlayoffs!G21),AltSeeding!$E$5:$E$44,0),2),Teams!$B$5:$B$40,0),3))</f>
        <v>@ Anatidae Field</v>
      </c>
      <c r="I18" s="280"/>
      <c r="J18" s="283"/>
      <c r="K18" s="279"/>
      <c r="L18" s="369">
        <f>IF(I15="","",IF(I15&gt;I21,G15,G21))</f>
        <v>13</v>
      </c>
      <c r="M18" s="365" t="str">
        <f>IF(ISNA(INDEX(AltSeeding!$E$5:$F$44,MATCH(OSNPlayoffs!L18,AltSeeding!$E$5:$E$44,0),2)),"",INDEX(AltSeeding!$E$5:$F$44,MATCH(OSNPlayoffs!L18,AltSeeding!$E$5:$E$44,0),2))</f>
        <v>University of Arkinesia</v>
      </c>
      <c r="N18" s="367">
        <v>28</v>
      </c>
      <c r="O18" s="282"/>
      <c r="P18" s="54"/>
      <c r="Q18" s="54"/>
      <c r="R18" s="54"/>
      <c r="S18" s="280"/>
      <c r="T18" s="283"/>
      <c r="U18" s="54"/>
      <c r="V18" s="54"/>
      <c r="W18" s="54"/>
      <c r="X18" s="54"/>
      <c r="Y18" s="54"/>
    </row>
    <row r="19" spans="2:25" ht="11.25" customHeight="1" thickBot="1">
      <c r="B19" s="34"/>
      <c r="C19" s="34"/>
      <c r="D19" s="284"/>
      <c r="E19" s="54"/>
      <c r="F19" s="54"/>
      <c r="G19" s="54"/>
      <c r="H19" s="364"/>
      <c r="I19" s="280"/>
      <c r="J19" s="283"/>
      <c r="K19" s="54"/>
      <c r="L19" s="370"/>
      <c r="M19" s="366"/>
      <c r="N19" s="368"/>
      <c r="O19" s="54"/>
      <c r="P19" s="54"/>
      <c r="Q19" s="54"/>
      <c r="R19" s="54"/>
      <c r="S19" s="280"/>
      <c r="T19" s="283"/>
      <c r="U19" s="54"/>
      <c r="V19" s="54"/>
      <c r="W19" s="54"/>
      <c r="X19" s="54"/>
      <c r="Y19" s="54"/>
    </row>
    <row r="20" spans="2:25" ht="7.5" customHeight="1" thickBot="1">
      <c r="B20" s="369">
        <v>5</v>
      </c>
      <c r="C20" s="365" t="str">
        <f>INDEX(AltSeeding!$E$5:$F$44,MATCH(OSNPlayoffs!B20,AltSeeding!$E$5:$E$44,0),2)</f>
        <v>Riversburg-Madison University</v>
      </c>
      <c r="D20" s="367">
        <v>21</v>
      </c>
      <c r="E20" s="279"/>
      <c r="F20" s="54"/>
      <c r="G20" s="54"/>
      <c r="H20" s="54"/>
      <c r="I20" s="280"/>
      <c r="J20" s="283"/>
      <c r="K20" s="54"/>
      <c r="L20" s="54"/>
      <c r="M20" s="54"/>
      <c r="N20" s="280"/>
      <c r="O20" s="54"/>
      <c r="P20" s="54"/>
      <c r="Q20" s="54"/>
      <c r="R20" s="54"/>
      <c r="S20" s="280"/>
      <c r="T20" s="283"/>
      <c r="U20" s="54"/>
      <c r="V20" s="286"/>
      <c r="W20" s="287"/>
      <c r="X20" s="287"/>
      <c r="Y20" s="288"/>
    </row>
    <row r="21" spans="2:25" ht="11.25" customHeight="1" thickBot="1">
      <c r="B21" s="370"/>
      <c r="C21" s="375"/>
      <c r="D21" s="368"/>
      <c r="E21" s="281"/>
      <c r="F21" s="279"/>
      <c r="G21" s="369">
        <f>IF(D20="","",IF(D20&gt;D22,B20,B22))</f>
        <v>5</v>
      </c>
      <c r="H21" s="365" t="str">
        <f>IF(ISNA(INDEX(AltSeeding!$E$5:$F$44,MATCH(OSNPlayoffs!G21,AltSeeding!$E$5:$E$44,0),2)),"",INDEX(AltSeeding!$E$5:$F$44,MATCH(OSNPlayoffs!G21,AltSeeding!$E$5:$E$44,0),2))</f>
        <v>Riversburg-Madison University</v>
      </c>
      <c r="I21" s="367">
        <v>3</v>
      </c>
      <c r="J21" s="282"/>
      <c r="K21" s="54"/>
      <c r="L21" s="54"/>
      <c r="M21" s="54"/>
      <c r="N21" s="280"/>
      <c r="O21" s="54"/>
      <c r="P21" s="54"/>
      <c r="Q21" s="54"/>
      <c r="R21" s="364" t="s">
        <v>286</v>
      </c>
      <c r="S21" s="280"/>
      <c r="T21" s="283"/>
      <c r="U21" s="54"/>
      <c r="V21" s="289"/>
      <c r="W21" s="372" t="s">
        <v>288</v>
      </c>
      <c r="X21" s="372"/>
      <c r="Y21" s="291"/>
    </row>
    <row r="22" spans="2:25" ht="11.25" customHeight="1" thickBot="1">
      <c r="B22" s="376">
        <v>12</v>
      </c>
      <c r="C22" s="365" t="str">
        <f>INDEX(AltSeeding!$E$5:$F$44,MATCH(OSNPlayoffs!B22,AltSeeding!$E$5:$E$44,0),2)</f>
        <v>Saugeais State University</v>
      </c>
      <c r="D22" s="377">
        <v>3</v>
      </c>
      <c r="E22" s="282"/>
      <c r="F22" s="54"/>
      <c r="G22" s="370"/>
      <c r="H22" s="366"/>
      <c r="I22" s="368"/>
      <c r="J22" s="54"/>
      <c r="K22" s="54"/>
      <c r="L22" s="54"/>
      <c r="M22" s="54"/>
      <c r="N22" s="280"/>
      <c r="O22" s="54"/>
      <c r="P22" s="54"/>
      <c r="Q22" s="54"/>
      <c r="R22" s="364"/>
      <c r="S22" s="280"/>
      <c r="T22" s="283"/>
      <c r="U22" s="54"/>
      <c r="V22" s="289"/>
      <c r="W22" s="372"/>
      <c r="X22" s="372"/>
      <c r="Y22" s="291"/>
    </row>
    <row r="23" spans="2:25" ht="7.5" customHeight="1" thickBot="1">
      <c r="B23" s="370"/>
      <c r="C23" s="366"/>
      <c r="D23" s="368"/>
      <c r="E23" s="54"/>
      <c r="F23" s="54"/>
      <c r="G23" s="54"/>
      <c r="H23" s="52"/>
      <c r="I23" s="280"/>
      <c r="J23" s="54"/>
      <c r="K23" s="54"/>
      <c r="L23" s="54"/>
      <c r="M23" s="54"/>
      <c r="N23" s="280"/>
      <c r="O23" s="54"/>
      <c r="P23" s="54"/>
      <c r="Q23" s="54"/>
      <c r="R23" s="371" t="s">
        <v>291</v>
      </c>
      <c r="S23" s="280"/>
      <c r="T23" s="283"/>
      <c r="U23" s="54"/>
      <c r="V23" s="289"/>
      <c r="W23" s="290"/>
      <c r="X23" s="290"/>
      <c r="Y23" s="291"/>
    </row>
    <row r="24" spans="2:25" ht="12.75" customHeight="1">
      <c r="B24" s="54"/>
      <c r="C24" s="34" t="str">
        <f>"@ "&amp;INDEX(Teams!$B$5:$F$45,MATCH(OSNPlayoffs!C20,Teams!$B$5:$B$45,0),3)</f>
        <v>@ Anatidae Field</v>
      </c>
      <c r="D24" s="280"/>
      <c r="E24" s="54"/>
      <c r="F24" s="54"/>
      <c r="G24" s="54"/>
      <c r="H24" s="285"/>
      <c r="I24" s="280"/>
      <c r="J24" s="54"/>
      <c r="K24" s="54"/>
      <c r="L24" s="54"/>
      <c r="M24" s="54"/>
      <c r="N24" s="280"/>
      <c r="O24" s="54"/>
      <c r="P24" s="54"/>
      <c r="Q24" s="54"/>
      <c r="R24" s="364"/>
      <c r="S24" s="280"/>
      <c r="T24" s="283"/>
      <c r="U24" s="279"/>
      <c r="V24" s="292"/>
      <c r="W24" s="369">
        <f>IF(S12="","",IF(S12&gt;S36,Q12,Q36))</f>
        <v>13</v>
      </c>
      <c r="X24" s="365" t="str">
        <f>IF(ISNA(INDEX(AltSeeding!$E$5:$F$39,MATCH(OSNPlayoffs!W24,AltSeeding!$E$5:$E$39,0),2)),"",INDEX(AltSeeding!$E$5:$F$39,MATCH(OSNPlayoffs!W24,AltSeeding!$E$5:$E$39,0),2))</f>
        <v>University of Arkinesia</v>
      </c>
      <c r="Y24" s="291"/>
    </row>
    <row r="25" spans="2:25" ht="11.25" customHeight="1" thickBot="1">
      <c r="B25" s="54"/>
      <c r="C25" s="54"/>
      <c r="D25" s="280"/>
      <c r="E25" s="54"/>
      <c r="F25" s="54"/>
      <c r="G25" s="54"/>
      <c r="H25" s="54"/>
      <c r="I25" s="280"/>
      <c r="J25" s="54"/>
      <c r="K25" s="54"/>
      <c r="L25" s="54"/>
      <c r="M25" s="54"/>
      <c r="N25" s="280"/>
      <c r="O25" s="54"/>
      <c r="P25" s="54"/>
      <c r="Q25" s="54"/>
      <c r="R25" s="364"/>
      <c r="S25" s="280"/>
      <c r="T25" s="283"/>
      <c r="U25" s="54"/>
      <c r="V25" s="292"/>
      <c r="W25" s="370"/>
      <c r="X25" s="366"/>
      <c r="Y25" s="291"/>
    </row>
    <row r="26" spans="2:25" ht="7.5" customHeight="1" thickBot="1">
      <c r="B26" s="369">
        <v>3</v>
      </c>
      <c r="C26" s="365" t="str">
        <f>INDEX(AltSeeding!$E$5:$F$44,MATCH(OSNPlayoffs!B26,AltSeeding!$E$5:$E$44,0),2)</f>
        <v>Ramusok Capital University</v>
      </c>
      <c r="D26" s="367">
        <v>13</v>
      </c>
      <c r="E26" s="279"/>
      <c r="F26" s="54"/>
      <c r="G26" s="54"/>
      <c r="H26" s="54"/>
      <c r="I26" s="280"/>
      <c r="J26" s="54"/>
      <c r="K26" s="54"/>
      <c r="L26" s="54"/>
      <c r="M26" s="54"/>
      <c r="N26" s="280"/>
      <c r="O26" s="54"/>
      <c r="P26" s="54"/>
      <c r="Q26" s="54"/>
      <c r="R26" s="364"/>
      <c r="S26" s="280"/>
      <c r="T26" s="283"/>
      <c r="U26" s="54"/>
      <c r="V26" s="293"/>
      <c r="W26" s="294"/>
      <c r="X26" s="294"/>
      <c r="Y26" s="295"/>
    </row>
    <row r="27" spans="2:25" ht="11.25" customHeight="1" thickBot="1">
      <c r="B27" s="370"/>
      <c r="C27" s="375"/>
      <c r="D27" s="368"/>
      <c r="E27" s="281"/>
      <c r="F27" s="279"/>
      <c r="G27" s="369">
        <f>IF(D26="","",IF(D26&gt;D28,B26,B28))</f>
        <v>3</v>
      </c>
      <c r="H27" s="365" t="str">
        <f>IF(ISNA(INDEX(AltSeeding!$E$5:$F$44,MATCH(OSNPlayoffs!G27,AltSeeding!$E$5:$E$44,0),2)),"",INDEX(AltSeeding!$E$5:$F$44,MATCH(OSNPlayoffs!G27,AltSeeding!$E$5:$E$44,0),2))</f>
        <v>Ramusok Capital University</v>
      </c>
      <c r="I27" s="367">
        <v>23</v>
      </c>
      <c r="J27" s="279"/>
      <c r="K27" s="54"/>
      <c r="L27" s="54"/>
      <c r="M27" s="54"/>
      <c r="N27" s="280"/>
      <c r="O27" s="54"/>
      <c r="P27" s="54"/>
      <c r="Q27" s="54"/>
      <c r="R27" s="54"/>
      <c r="S27" s="280"/>
      <c r="T27" s="283"/>
      <c r="U27" s="54"/>
      <c r="V27" s="54"/>
      <c r="W27" s="54"/>
      <c r="X27" s="54"/>
      <c r="Y27" s="54"/>
    </row>
    <row r="28" spans="2:25" ht="11.25" customHeight="1" thickBot="1">
      <c r="B28" s="376">
        <v>14</v>
      </c>
      <c r="C28" s="365" t="str">
        <f>INDEX(AltSeeding!$E$5:$F$44,MATCH(OSNPlayoffs!B28,AltSeeding!$E$5:$E$44,0),2)</f>
        <v>Touffer University</v>
      </c>
      <c r="D28" s="377">
        <v>6</v>
      </c>
      <c r="E28" s="282"/>
      <c r="F28" s="54"/>
      <c r="G28" s="370"/>
      <c r="H28" s="366"/>
      <c r="I28" s="368"/>
      <c r="J28" s="281"/>
      <c r="K28" s="54"/>
      <c r="L28" s="54"/>
      <c r="M28" s="54"/>
      <c r="N28" s="280"/>
      <c r="O28" s="54"/>
      <c r="P28" s="54"/>
      <c r="Q28" s="54"/>
      <c r="R28" s="54"/>
      <c r="S28" s="280"/>
      <c r="T28" s="283"/>
      <c r="U28" s="54"/>
      <c r="V28" s="54"/>
      <c r="W28" s="54"/>
      <c r="X28" s="54"/>
      <c r="Y28" s="54"/>
    </row>
    <row r="29" spans="2:25" ht="7.5" customHeight="1" thickBot="1">
      <c r="B29" s="370"/>
      <c r="C29" s="366"/>
      <c r="D29" s="368"/>
      <c r="E29" s="54"/>
      <c r="F29" s="54"/>
      <c r="G29" s="54"/>
      <c r="H29" s="52"/>
      <c r="I29" s="280"/>
      <c r="J29" s="283"/>
      <c r="K29" s="54"/>
      <c r="L29" s="54"/>
      <c r="M29" s="54"/>
      <c r="N29" s="280"/>
      <c r="O29" s="54"/>
      <c r="P29" s="54"/>
      <c r="Q29" s="54"/>
      <c r="R29" s="54"/>
      <c r="S29" s="280"/>
      <c r="T29" s="283"/>
      <c r="U29" s="54"/>
      <c r="V29" s="54"/>
      <c r="W29" s="54"/>
      <c r="X29" s="54"/>
      <c r="Y29" s="54"/>
    </row>
    <row r="30" spans="2:25" ht="12.75" customHeight="1">
      <c r="B30" s="34"/>
      <c r="C30" s="34" t="str">
        <f>"@ "&amp;INDEX(Teams!$B$5:$F$45,MATCH(OSNPlayoffs!C26,Teams!$B$5:$B$45,0),3)</f>
        <v>@ Capital Coliseum</v>
      </c>
      <c r="D30" s="284"/>
      <c r="E30" s="54"/>
      <c r="F30" s="54"/>
      <c r="G30" s="54"/>
      <c r="H30" s="364" t="str">
        <f>IF(ISNA(INDEX(Teams!$B$5:$F$45,MATCH(INDEX(AltSeeding!$E$5:$F$44,MATCH(MIN(OSNPlayoffs!G27,OSNPlayoffs!G33),AltSeeding!$E$5:$E$44,0),2),Teams!$B$5:$B$45,0),3)),"","@ "&amp;INDEX(Teams!$B$5:$F$45,MATCH(INDEX(AltSeeding!$E$5:$F$44,MATCH(MIN(OSNPlayoffs!G27,OSNPlayoffs!G33),AltSeeding!$E$5:$E$44,0),2),Teams!$B$5:$B$40,0),3))</f>
        <v>@ Capital Coliseum</v>
      </c>
      <c r="I30" s="280"/>
      <c r="J30" s="283"/>
      <c r="K30" s="279"/>
      <c r="L30" s="369">
        <f>IF(I27="","",IF(I27&gt;I33,G27,G33))</f>
        <v>11</v>
      </c>
      <c r="M30" s="365" t="str">
        <f>IF(ISNA(INDEX(AltSeeding!$E$5:$F$44,MATCH(OSNPlayoffs!L30,AltSeeding!$E$5:$E$44,0),2)),"",INDEX(AltSeeding!$E$5:$F$44,MATCH(OSNPlayoffs!L30,AltSeeding!$E$5:$E$44,0),2))</f>
        <v>University of Utica</v>
      </c>
      <c r="N30" s="367">
        <v>14</v>
      </c>
      <c r="O30" s="279"/>
      <c r="P30" s="54"/>
      <c r="Q30" s="54"/>
      <c r="R30" s="54"/>
      <c r="S30" s="280"/>
      <c r="T30" s="283"/>
      <c r="U30" s="54"/>
      <c r="V30" s="54"/>
      <c r="W30" s="54"/>
      <c r="X30" s="54"/>
      <c r="Y30" s="54"/>
    </row>
    <row r="31" spans="2:25" ht="11.25" customHeight="1" thickBot="1">
      <c r="B31" s="34"/>
      <c r="C31" s="34"/>
      <c r="D31" s="284"/>
      <c r="E31" s="54"/>
      <c r="F31" s="54"/>
      <c r="G31" s="54"/>
      <c r="H31" s="364"/>
      <c r="I31" s="280"/>
      <c r="J31" s="283"/>
      <c r="K31" s="54"/>
      <c r="L31" s="370"/>
      <c r="M31" s="366"/>
      <c r="N31" s="368"/>
      <c r="O31" s="281"/>
      <c r="P31" s="54"/>
      <c r="Q31" s="54"/>
      <c r="R31" s="54"/>
      <c r="S31" s="280"/>
      <c r="T31" s="283"/>
      <c r="U31" s="54"/>
      <c r="V31" s="54"/>
      <c r="W31" s="54"/>
      <c r="X31" s="54"/>
      <c r="Y31" s="54"/>
    </row>
    <row r="32" spans="2:25" ht="7.5" customHeight="1" thickBot="1">
      <c r="B32" s="369">
        <v>6</v>
      </c>
      <c r="C32" s="365" t="str">
        <f>INDEX(AltSeeding!$E$5:$F$44,MATCH(OSNPlayoffs!B32,AltSeeding!$E$5:$E$44,0),2)</f>
        <v>Oklahoma City State University</v>
      </c>
      <c r="D32" s="367">
        <v>3</v>
      </c>
      <c r="E32" s="279"/>
      <c r="F32" s="54"/>
      <c r="G32" s="54"/>
      <c r="H32" s="54"/>
      <c r="I32" s="280"/>
      <c r="J32" s="283"/>
      <c r="K32" s="54"/>
      <c r="L32" s="54"/>
      <c r="M32" s="54"/>
      <c r="N32" s="280"/>
      <c r="O32" s="283"/>
      <c r="P32" s="54"/>
      <c r="Q32" s="54"/>
      <c r="R32" s="54"/>
      <c r="S32" s="280"/>
      <c r="T32" s="283"/>
      <c r="U32" s="54"/>
      <c r="V32" s="54"/>
      <c r="W32" s="54"/>
      <c r="X32" s="54"/>
      <c r="Y32" s="54"/>
    </row>
    <row r="33" spans="2:25" ht="11.25" customHeight="1" thickBot="1">
      <c r="B33" s="370"/>
      <c r="C33" s="375"/>
      <c r="D33" s="368"/>
      <c r="E33" s="281"/>
      <c r="F33" s="279"/>
      <c r="G33" s="369">
        <f>IF(D32="","",IF(D32&gt;D34,B32,B34))</f>
        <v>11</v>
      </c>
      <c r="H33" s="365" t="str">
        <f>IF(ISNA(INDEX(AltSeeding!$E$5:$F$44,MATCH(OSNPlayoffs!G33,AltSeeding!$E$5:$E$44,0),2)),"",INDEX(AltSeeding!$E$5:$F$44,MATCH(OSNPlayoffs!G33,AltSeeding!$E$5:$E$44,0),2))</f>
        <v>University of Utica</v>
      </c>
      <c r="I33" s="367">
        <v>31</v>
      </c>
      <c r="J33" s="282"/>
      <c r="K33" s="54"/>
      <c r="L33" s="54"/>
      <c r="M33" s="54"/>
      <c r="N33" s="280"/>
      <c r="O33" s="283"/>
      <c r="P33" s="54"/>
      <c r="Q33" s="54"/>
      <c r="R33" s="54"/>
      <c r="S33" s="280"/>
      <c r="T33" s="283"/>
      <c r="U33" s="54"/>
      <c r="V33" s="54"/>
      <c r="W33" s="54"/>
      <c r="X33" s="54"/>
      <c r="Y33" s="54"/>
    </row>
    <row r="34" spans="2:25" ht="11.25" customHeight="1" thickBot="1">
      <c r="B34" s="376">
        <v>11</v>
      </c>
      <c r="C34" s="365" t="str">
        <f>INDEX(AltSeeding!$E$5:$F$44,MATCH(OSNPlayoffs!B34,AltSeeding!$E$5:$E$44,0),2)</f>
        <v>University of Utica</v>
      </c>
      <c r="D34" s="377">
        <v>6</v>
      </c>
      <c r="E34" s="282"/>
      <c r="F34" s="54"/>
      <c r="G34" s="370"/>
      <c r="H34" s="366"/>
      <c r="I34" s="368"/>
      <c r="J34" s="54"/>
      <c r="K34" s="54"/>
      <c r="L34" s="54"/>
      <c r="M34" s="54"/>
      <c r="N34" s="280"/>
      <c r="O34" s="283"/>
      <c r="P34" s="54"/>
      <c r="Q34" s="54"/>
      <c r="R34" s="54"/>
      <c r="S34" s="280"/>
      <c r="T34" s="283"/>
      <c r="U34" s="54"/>
      <c r="V34" s="54"/>
      <c r="W34" s="54"/>
      <c r="X34" s="54"/>
      <c r="Y34" s="54"/>
    </row>
    <row r="35" spans="2:25" ht="7.5" customHeight="1" thickBot="1">
      <c r="B35" s="370"/>
      <c r="C35" s="366"/>
      <c r="D35" s="368"/>
      <c r="E35" s="54"/>
      <c r="F35" s="54"/>
      <c r="G35" s="54"/>
      <c r="H35" s="52"/>
      <c r="I35" s="280"/>
      <c r="J35" s="54"/>
      <c r="K35" s="54"/>
      <c r="L35" s="54"/>
      <c r="M35" s="364" t="str">
        <f>IF(ISNA(INDEX(Teams!$B$5:$F$45,MATCH(INDEX(AltSeeding!$E$5:$F$44,MATCH(MIN(L30,L42),AltSeeding!$E$5:$E$44,0),2),Teams!$B$5:$B$45,0),3)),"","@ "&amp;INDEX(Teams!$B$5:$F$45,MATCH(INDEX(AltSeeding!$E$5:$F$44,MATCH(MIN(L30,L42),AltSeeding!$E$5:$E$44,0),2),Teams!$B$5:$B$40,0),3))</f>
        <v>@ Dorrel Stadium</v>
      </c>
      <c r="N35" s="280"/>
      <c r="O35" s="283"/>
      <c r="P35" s="54"/>
      <c r="Q35" s="54"/>
      <c r="R35" s="54"/>
      <c r="S35" s="280"/>
      <c r="T35" s="283"/>
      <c r="U35" s="54"/>
      <c r="V35" s="54"/>
      <c r="W35" s="54"/>
      <c r="X35" s="54"/>
      <c r="Y35" s="54"/>
    </row>
    <row r="36" spans="2:25" ht="12.75" customHeight="1">
      <c r="B36" s="54"/>
      <c r="C36" s="34" t="str">
        <f>"@ "&amp;INDEX(Teams!$B$5:$F$45,MATCH(OSNPlayoffs!C32,Teams!$B$5:$B$45,0),3)</f>
        <v>@ Orange Bowl</v>
      </c>
      <c r="D36" s="280"/>
      <c r="E36" s="54"/>
      <c r="F36" s="54"/>
      <c r="G36" s="54"/>
      <c r="H36" s="285"/>
      <c r="I36" s="280"/>
      <c r="J36" s="54"/>
      <c r="K36" s="54"/>
      <c r="L36" s="54"/>
      <c r="M36" s="364"/>
      <c r="N36" s="280"/>
      <c r="O36" s="283"/>
      <c r="P36" s="279"/>
      <c r="Q36" s="369">
        <f>IF(N30="","",IF(N30&gt;N42,L30,L42))</f>
        <v>11</v>
      </c>
      <c r="R36" s="365" t="str">
        <f>IF(ISNA(INDEX(AltSeeding!$E$5:$F$39,MATCH(OSNPlayoffs!Q36,AltSeeding!$E$5:$E$39,0),2)),"",INDEX(AltSeeding!$E$5:$F$39,MATCH(OSNPlayoffs!Q36,AltSeeding!$E$5:$E$39,0),2))</f>
        <v>University of Utica</v>
      </c>
      <c r="S36" s="367">
        <v>16</v>
      </c>
      <c r="T36" s="282"/>
      <c r="U36" s="54"/>
      <c r="V36" s="54"/>
      <c r="W36" s="54"/>
      <c r="X36" s="54"/>
      <c r="Y36" s="54"/>
    </row>
    <row r="37" spans="2:25" ht="11.25" customHeight="1" thickBot="1">
      <c r="B37" s="54"/>
      <c r="C37" s="54"/>
      <c r="D37" s="280"/>
      <c r="E37" s="54"/>
      <c r="F37" s="54"/>
      <c r="G37" s="54"/>
      <c r="H37" s="54"/>
      <c r="I37" s="280"/>
      <c r="J37" s="54"/>
      <c r="K37" s="54"/>
      <c r="L37" s="54"/>
      <c r="M37" s="364"/>
      <c r="N37" s="280"/>
      <c r="O37" s="283"/>
      <c r="P37" s="54"/>
      <c r="Q37" s="370"/>
      <c r="R37" s="366"/>
      <c r="S37" s="368"/>
      <c r="T37" s="54"/>
      <c r="U37" s="54"/>
      <c r="V37" s="54"/>
      <c r="W37" s="54"/>
      <c r="X37" s="54"/>
      <c r="Y37" s="54"/>
    </row>
    <row r="38" spans="2:25" ht="7.5" customHeight="1" thickBot="1">
      <c r="B38" s="369">
        <v>7</v>
      </c>
      <c r="C38" s="365" t="str">
        <f>INDEX(AltSeeding!$E$5:$F$44,MATCH(OSNPlayoffs!B38,AltSeeding!$E$5:$E$44,0),2)</f>
        <v>Scott City University</v>
      </c>
      <c r="D38" s="367">
        <v>3</v>
      </c>
      <c r="E38" s="279"/>
      <c r="F38" s="54"/>
      <c r="G38" s="54"/>
      <c r="H38" s="54"/>
      <c r="I38" s="280"/>
      <c r="J38" s="54"/>
      <c r="K38" s="54"/>
      <c r="L38" s="54"/>
      <c r="M38" s="54"/>
      <c r="N38" s="280"/>
      <c r="O38" s="283"/>
      <c r="P38" s="54"/>
      <c r="Q38" s="54"/>
      <c r="R38" s="54"/>
      <c r="S38" s="280"/>
      <c r="T38" s="54"/>
      <c r="U38" s="54"/>
      <c r="V38" s="54"/>
      <c r="W38" s="54"/>
      <c r="X38" s="54"/>
      <c r="Y38" s="54"/>
    </row>
    <row r="39" spans="2:25" ht="11.25" customHeight="1" thickBot="1">
      <c r="B39" s="370"/>
      <c r="C39" s="375"/>
      <c r="D39" s="368"/>
      <c r="E39" s="281"/>
      <c r="F39" s="279"/>
      <c r="G39" s="369">
        <f>IF(D38="","",IF(D38&gt;D40,B38,B40))</f>
        <v>10</v>
      </c>
      <c r="H39" s="365" t="str">
        <f>IF(ISNA(INDEX(AltSeeding!$E$5:$F$44,MATCH(OSNPlayoffs!G39,AltSeeding!$E$5:$E$44,0),2)),"",INDEX(AltSeeding!$E$5:$F$44,MATCH(OSNPlayoffs!G39,AltSeeding!$E$5:$E$44,0),2))</f>
        <v>Bugny A&amp;M University</v>
      </c>
      <c r="I39" s="367">
        <v>13</v>
      </c>
      <c r="J39" s="279"/>
      <c r="K39" s="54"/>
      <c r="L39" s="54"/>
      <c r="M39" s="54"/>
      <c r="N39" s="280"/>
      <c r="O39" s="283"/>
      <c r="P39" s="54"/>
      <c r="Q39" s="54"/>
      <c r="R39" s="54"/>
      <c r="S39" s="280"/>
      <c r="T39" s="54"/>
      <c r="U39" s="54"/>
      <c r="V39" s="54"/>
      <c r="W39" s="54"/>
      <c r="X39" s="54"/>
      <c r="Y39" s="54"/>
    </row>
    <row r="40" spans="2:25" ht="11.25" customHeight="1" thickBot="1">
      <c r="B40" s="376">
        <v>10</v>
      </c>
      <c r="C40" s="365" t="str">
        <f>INDEX(AltSeeding!$E$5:$F$44,MATCH(OSNPlayoffs!B40,AltSeeding!$E$5:$E$44,0),2)</f>
        <v>Bugny A&amp;M University</v>
      </c>
      <c r="D40" s="377">
        <v>13</v>
      </c>
      <c r="E40" s="282"/>
      <c r="F40" s="54"/>
      <c r="G40" s="370"/>
      <c r="H40" s="366"/>
      <c r="I40" s="368"/>
      <c r="J40" s="281"/>
      <c r="K40" s="54"/>
      <c r="L40" s="54"/>
      <c r="M40" s="54"/>
      <c r="N40" s="280"/>
      <c r="O40" s="283"/>
      <c r="P40" s="54"/>
      <c r="Q40" s="54"/>
      <c r="R40" s="54"/>
      <c r="S40" s="280"/>
      <c r="T40" s="54"/>
      <c r="U40" s="54"/>
      <c r="V40" s="54"/>
      <c r="W40" s="54"/>
      <c r="X40" s="54"/>
      <c r="Y40" s="54"/>
    </row>
    <row r="41" spans="2:25" ht="7.5" customHeight="1" thickBot="1">
      <c r="B41" s="370"/>
      <c r="C41" s="366"/>
      <c r="D41" s="368"/>
      <c r="E41" s="54"/>
      <c r="F41" s="54"/>
      <c r="G41" s="54"/>
      <c r="H41" s="52"/>
      <c r="I41" s="280"/>
      <c r="J41" s="283"/>
      <c r="K41" s="54"/>
      <c r="L41" s="54"/>
      <c r="M41" s="54"/>
      <c r="N41" s="280"/>
      <c r="O41" s="283"/>
      <c r="P41" s="54"/>
      <c r="Q41" s="54"/>
      <c r="R41" s="54"/>
      <c r="S41" s="280"/>
      <c r="T41" s="54"/>
      <c r="U41" s="54"/>
      <c r="V41" s="54"/>
      <c r="W41" s="54"/>
      <c r="X41" s="54"/>
      <c r="Y41" s="54"/>
    </row>
    <row r="42" spans="2:25" ht="12.75" customHeight="1">
      <c r="B42" s="34"/>
      <c r="C42" s="34" t="str">
        <f>"@ "&amp;INDEX(Teams!$B$5:$F$45,MATCH(OSNPlayoffs!C38,Teams!$B$5:$B$45,0),3)</f>
        <v>@ Bronco Stadium</v>
      </c>
      <c r="D42" s="284"/>
      <c r="E42" s="54"/>
      <c r="F42" s="54"/>
      <c r="G42" s="54"/>
      <c r="H42" s="364" t="str">
        <f>IF(ISNA(INDEX(Teams!$B$5:$F$45,MATCH(INDEX(AltSeeding!$E$5:$F$44,MATCH(MIN(OSNPlayoffs!G39,OSNPlayoffs!G45),AltSeeding!$E$5:$E$44,0),2),Teams!$B$5:$B$45,0),3)),"","@ "&amp;INDEX(Teams!$B$5:$F$45,MATCH(INDEX(AltSeeding!$E$5:$F$44,MATCH(MIN(OSNPlayoffs!G39,OSNPlayoffs!G45),AltSeeding!$E$5:$E$44,0),2),Teams!$B$5:$B$40,0),3))</f>
        <v>@ Dorrel Stadium</v>
      </c>
      <c r="I42" s="280"/>
      <c r="J42" s="283"/>
      <c r="K42" s="279"/>
      <c r="L42" s="369">
        <f>IF(I39="","",IF(I39&gt;I45,G39,G45))</f>
        <v>2</v>
      </c>
      <c r="M42" s="365" t="str">
        <f>IF(ISNA(INDEX(AltSeeding!$E$5:$F$44,MATCH(OSNPlayoffs!L42,AltSeeding!$E$5:$E$44,0),2)),"",INDEX(AltSeeding!$E$5:$F$44,MATCH(OSNPlayoffs!L42,AltSeeding!$E$5:$E$44,0),2))</f>
        <v>Colden University</v>
      </c>
      <c r="N42" s="367">
        <v>10</v>
      </c>
      <c r="O42" s="282"/>
      <c r="P42" s="54"/>
      <c r="Q42" s="54"/>
      <c r="R42" s="54"/>
      <c r="S42" s="280"/>
      <c r="T42" s="54"/>
      <c r="U42" s="54"/>
      <c r="V42" s="54"/>
      <c r="W42" s="54"/>
      <c r="X42" s="54"/>
      <c r="Y42" s="54"/>
    </row>
    <row r="43" spans="2:25" ht="11.25" customHeight="1" thickBot="1">
      <c r="B43" s="34"/>
      <c r="C43" s="34"/>
      <c r="D43" s="284"/>
      <c r="E43" s="54"/>
      <c r="F43" s="54"/>
      <c r="G43" s="54"/>
      <c r="H43" s="364"/>
      <c r="I43" s="280"/>
      <c r="J43" s="283"/>
      <c r="K43" s="54"/>
      <c r="L43" s="370"/>
      <c r="M43" s="366"/>
      <c r="N43" s="368"/>
      <c r="O43" s="54"/>
      <c r="P43" s="54"/>
      <c r="Q43" s="54"/>
      <c r="R43" s="54"/>
      <c r="S43" s="280"/>
      <c r="T43" s="54"/>
      <c r="U43" s="54"/>
      <c r="V43" s="54"/>
      <c r="W43" s="54"/>
      <c r="X43" s="54"/>
      <c r="Y43" s="54"/>
    </row>
    <row r="44" spans="2:25" ht="7.5" customHeight="1" thickBot="1">
      <c r="B44" s="369">
        <v>2</v>
      </c>
      <c r="C44" s="365" t="str">
        <f>INDEX(AltSeeding!$E$5:$F$44,MATCH(OSNPlayoffs!B44,AltSeeding!$E$5:$E$44,0),2)</f>
        <v>Colden University</v>
      </c>
      <c r="D44" s="367">
        <v>33</v>
      </c>
      <c r="E44" s="279"/>
      <c r="F44" s="54"/>
      <c r="G44" s="54"/>
      <c r="H44" s="54"/>
      <c r="I44" s="280"/>
      <c r="J44" s="283"/>
      <c r="K44" s="54"/>
      <c r="L44" s="54"/>
      <c r="M44" s="54"/>
      <c r="N44" s="280"/>
      <c r="O44" s="54"/>
      <c r="P44" s="54"/>
      <c r="Q44" s="54"/>
      <c r="R44" s="54"/>
      <c r="S44" s="280"/>
      <c r="T44" s="54"/>
      <c r="U44" s="54"/>
      <c r="V44" s="54"/>
      <c r="W44" s="54"/>
      <c r="X44" s="54"/>
      <c r="Y44" s="54"/>
    </row>
    <row r="45" spans="2:25" ht="11.25" customHeight="1" thickBot="1">
      <c r="B45" s="370"/>
      <c r="C45" s="375"/>
      <c r="D45" s="368"/>
      <c r="E45" s="281"/>
      <c r="F45" s="279"/>
      <c r="G45" s="369">
        <f>IF(D44="","",IF(D44&gt;D46,B44,B46))</f>
        <v>2</v>
      </c>
      <c r="H45" s="365" t="str">
        <f>IF(ISNA(INDEX(AltSeeding!$E$5:$F$44,MATCH(OSNPlayoffs!G45,AltSeeding!$E$5:$E$44,0),2)),"",INDEX(AltSeeding!$E$5:$F$44,MATCH(OSNPlayoffs!G45,AltSeeding!$E$5:$E$44,0),2))</f>
        <v>Colden University</v>
      </c>
      <c r="I45" s="367">
        <v>44</v>
      </c>
      <c r="J45" s="282"/>
      <c r="K45" s="54"/>
      <c r="L45" s="54"/>
      <c r="M45" s="54"/>
      <c r="N45" s="280"/>
      <c r="O45" s="54"/>
      <c r="P45" s="54"/>
      <c r="Q45" s="54"/>
      <c r="R45" s="54"/>
      <c r="S45" s="280"/>
      <c r="T45" s="54"/>
      <c r="U45" s="54"/>
      <c r="V45" s="54"/>
      <c r="W45" s="54"/>
      <c r="X45" s="54"/>
      <c r="Y45" s="54"/>
    </row>
    <row r="46" spans="2:25" ht="11.25" customHeight="1" thickBot="1">
      <c r="B46" s="376">
        <v>15</v>
      </c>
      <c r="C46" s="365" t="str">
        <f>INDEX(AltSeeding!$E$5:$F$44,MATCH(OSNPlayoffs!B46,AltSeeding!$E$5:$E$44,0),2)</f>
        <v>Bucktown University</v>
      </c>
      <c r="D46" s="377">
        <v>0</v>
      </c>
      <c r="E46" s="282"/>
      <c r="F46" s="54"/>
      <c r="G46" s="370"/>
      <c r="H46" s="366"/>
      <c r="I46" s="368"/>
      <c r="J46" s="54"/>
      <c r="K46" s="54"/>
      <c r="L46" s="54"/>
      <c r="M46" s="54"/>
      <c r="N46" s="280"/>
      <c r="O46" s="54"/>
      <c r="P46" s="54"/>
      <c r="Q46" s="54"/>
      <c r="R46" s="54"/>
      <c r="S46" s="280"/>
      <c r="T46" s="54"/>
      <c r="U46" s="54"/>
      <c r="V46" s="54"/>
      <c r="W46" s="54"/>
      <c r="X46" s="54"/>
      <c r="Y46" s="54"/>
    </row>
    <row r="47" spans="2:25" ht="7.5" customHeight="1" thickBot="1">
      <c r="B47" s="370"/>
      <c r="C47" s="366"/>
      <c r="D47" s="368"/>
      <c r="E47" s="54"/>
      <c r="F47" s="54"/>
      <c r="G47" s="54"/>
      <c r="H47" s="373"/>
      <c r="I47" s="280"/>
      <c r="J47" s="54"/>
      <c r="K47" s="54"/>
      <c r="L47" s="54"/>
      <c r="M47" s="54"/>
      <c r="N47" s="280"/>
      <c r="O47" s="54"/>
      <c r="P47" s="54"/>
      <c r="Q47" s="54"/>
      <c r="R47" s="54"/>
      <c r="S47" s="280"/>
      <c r="T47" s="54"/>
      <c r="U47" s="54"/>
      <c r="V47" s="54"/>
      <c r="W47" s="54"/>
      <c r="X47" s="54"/>
      <c r="Y47" s="54"/>
    </row>
    <row r="48" spans="3:8" ht="12.75" customHeight="1">
      <c r="C48" s="34" t="str">
        <f>"@ "&amp;INDEX(Teams!$B$5:$F$45,MATCH(OSNPlayoffs!C44,Teams!$B$5:$B$45,0),3)</f>
        <v>@ Dorrel Stadium</v>
      </c>
      <c r="H48" s="374"/>
    </row>
  </sheetData>
  <mergeCells count="102">
    <mergeCell ref="H3:H4"/>
    <mergeCell ref="I3:I4"/>
    <mergeCell ref="B4:B5"/>
    <mergeCell ref="C4:C5"/>
    <mergeCell ref="D4:D5"/>
    <mergeCell ref="B2:B3"/>
    <mergeCell ref="C2:C3"/>
    <mergeCell ref="D2:D3"/>
    <mergeCell ref="G3:G4"/>
    <mergeCell ref="H6:H7"/>
    <mergeCell ref="L6:L7"/>
    <mergeCell ref="M6:M7"/>
    <mergeCell ref="N6:N7"/>
    <mergeCell ref="H9:H10"/>
    <mergeCell ref="I9:I10"/>
    <mergeCell ref="B10:B11"/>
    <mergeCell ref="C10:C11"/>
    <mergeCell ref="D10:D11"/>
    <mergeCell ref="B8:B9"/>
    <mergeCell ref="C8:C9"/>
    <mergeCell ref="D8:D9"/>
    <mergeCell ref="G9:G10"/>
    <mergeCell ref="M11:M13"/>
    <mergeCell ref="Q12:Q13"/>
    <mergeCell ref="R12:R13"/>
    <mergeCell ref="S12:S13"/>
    <mergeCell ref="H15:H16"/>
    <mergeCell ref="I15:I16"/>
    <mergeCell ref="B16:B17"/>
    <mergeCell ref="C16:C17"/>
    <mergeCell ref="D16:D17"/>
    <mergeCell ref="B14:B15"/>
    <mergeCell ref="C14:C15"/>
    <mergeCell ref="D14:D15"/>
    <mergeCell ref="G15:G16"/>
    <mergeCell ref="H18:H19"/>
    <mergeCell ref="L18:L19"/>
    <mergeCell ref="M18:M19"/>
    <mergeCell ref="N18:N19"/>
    <mergeCell ref="B20:B21"/>
    <mergeCell ref="C20:C21"/>
    <mergeCell ref="D20:D21"/>
    <mergeCell ref="G21:G22"/>
    <mergeCell ref="B22:B23"/>
    <mergeCell ref="C22:C23"/>
    <mergeCell ref="D22:D23"/>
    <mergeCell ref="H21:H22"/>
    <mergeCell ref="I21:I22"/>
    <mergeCell ref="R21:R22"/>
    <mergeCell ref="W21:X22"/>
    <mergeCell ref="R23:R26"/>
    <mergeCell ref="W24:W25"/>
    <mergeCell ref="X24:X25"/>
    <mergeCell ref="B26:B27"/>
    <mergeCell ref="C26:C27"/>
    <mergeCell ref="D26:D27"/>
    <mergeCell ref="G27:G28"/>
    <mergeCell ref="H27:H28"/>
    <mergeCell ref="I27:I28"/>
    <mergeCell ref="B28:B29"/>
    <mergeCell ref="C28:C29"/>
    <mergeCell ref="D28:D29"/>
    <mergeCell ref="H30:H31"/>
    <mergeCell ref="L30:L31"/>
    <mergeCell ref="M30:M31"/>
    <mergeCell ref="N30:N31"/>
    <mergeCell ref="B32:B33"/>
    <mergeCell ref="C32:C33"/>
    <mergeCell ref="D32:D33"/>
    <mergeCell ref="G33:G34"/>
    <mergeCell ref="H33:H34"/>
    <mergeCell ref="I33:I34"/>
    <mergeCell ref="B34:B35"/>
    <mergeCell ref="C34:C35"/>
    <mergeCell ref="D34:D35"/>
    <mergeCell ref="M35:M37"/>
    <mergeCell ref="Q36:Q37"/>
    <mergeCell ref="R36:R37"/>
    <mergeCell ref="S36:S37"/>
    <mergeCell ref="B38:B39"/>
    <mergeCell ref="C38:C39"/>
    <mergeCell ref="D38:D39"/>
    <mergeCell ref="G39:G40"/>
    <mergeCell ref="H39:H40"/>
    <mergeCell ref="I39:I40"/>
    <mergeCell ref="B40:B41"/>
    <mergeCell ref="C40:C41"/>
    <mergeCell ref="D40:D41"/>
    <mergeCell ref="H42:H43"/>
    <mergeCell ref="L42:L43"/>
    <mergeCell ref="M42:M43"/>
    <mergeCell ref="N42:N43"/>
    <mergeCell ref="H45:H46"/>
    <mergeCell ref="I45:I46"/>
    <mergeCell ref="B46:B47"/>
    <mergeCell ref="C46:C47"/>
    <mergeCell ref="D46:D47"/>
    <mergeCell ref="H47:H48"/>
    <mergeCell ref="B44:B45"/>
    <mergeCell ref="C44:C45"/>
    <mergeCell ref="D44:D45"/>
    <mergeCell ref="G45:G46"/>
  </mergeCells>
  <conditionalFormatting sqref="I45:I46 I39:I40 I33:I34 I27:I28 I21:I22 I15:I16 I9:I10 I3:I4 N6:N7 N18:N19 N30:N31 N42:N43 S36:S37 S12:S13">
    <cfRule type="cellIs" priority="1" dxfId="4" operator="equal" stopIfTrue="1">
      <formula>0</formula>
    </cfRule>
  </conditionalFormatting>
  <conditionalFormatting sqref="D44:D47 D38:D41 D32:D35 D26:D29 D20:D23 D14:D17 D2:D5 D8:D11">
    <cfRule type="expression" priority="2" dxfId="4" stopIfTrue="1">
      <formula>IF(D2="",1,0)=1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Kayos</dc:creator>
  <cp:keywords/>
  <dc:description/>
  <cp:lastModifiedBy>Kayos</cp:lastModifiedBy>
  <dcterms:created xsi:type="dcterms:W3CDTF">2010-12-02T18:13:32Z</dcterms:created>
  <dcterms:modified xsi:type="dcterms:W3CDTF">2011-12-28T03:37:18Z</dcterms:modified>
  <cp:category/>
  <cp:version/>
  <cp:contentType/>
  <cp:contentStatus/>
</cp:coreProperties>
</file>