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2835" activeTab="0"/>
  </bookViews>
  <sheets>
    <sheet name="Teams" sheetId="1" r:id="rId1"/>
    <sheet name="Dummy Standings" sheetId="2" state="hidden" r:id="rId2"/>
    <sheet name="Standings" sheetId="3" r:id="rId3"/>
    <sheet name="Results" sheetId="4" r:id="rId4"/>
    <sheet name="RankPoints" sheetId="5" r:id="rId5"/>
  </sheets>
  <definedNames/>
  <calcPr fullCalcOnLoad="1"/>
</workbook>
</file>

<file path=xl/sharedStrings.xml><?xml version="1.0" encoding="utf-8"?>
<sst xmlns="http://schemas.openxmlformats.org/spreadsheetml/2006/main" count="304" uniqueCount="85">
  <si>
    <t>ALL GAMES</t>
  </si>
  <si>
    <t>P</t>
  </si>
  <si>
    <t>W</t>
  </si>
  <si>
    <t>L</t>
  </si>
  <si>
    <t>F</t>
  </si>
  <si>
    <t>A</t>
  </si>
  <si>
    <t>AWAY</t>
  </si>
  <si>
    <t>HOME</t>
  </si>
  <si>
    <t>PD</t>
  </si>
  <si>
    <t>Team</t>
  </si>
  <si>
    <t>No</t>
  </si>
  <si>
    <t>Home Stadium</t>
  </si>
  <si>
    <t>Team Name</t>
  </si>
  <si>
    <t>Week</t>
  </si>
  <si>
    <t>Home</t>
  </si>
  <si>
    <t>Score</t>
  </si>
  <si>
    <t>Away</t>
  </si>
  <si>
    <t>Venue</t>
  </si>
  <si>
    <t>Conference</t>
  </si>
  <si>
    <t>Colden University</t>
  </si>
  <si>
    <t>Ramusok Capital University</t>
  </si>
  <si>
    <t>Wins</t>
  </si>
  <si>
    <t>PF</t>
  </si>
  <si>
    <t>Away PF</t>
  </si>
  <si>
    <t>The Pit</t>
  </si>
  <si>
    <t>Dorrel Stadium</t>
  </si>
  <si>
    <t>CRnk</t>
  </si>
  <si>
    <t>OVERALL</t>
  </si>
  <si>
    <t>Walker Field</t>
  </si>
  <si>
    <t>Capital Coliseum</t>
  </si>
  <si>
    <t>Head to Head Comparisons</t>
  </si>
  <si>
    <t>Abbrev.</t>
  </si>
  <si>
    <t>RCU</t>
  </si>
  <si>
    <t>Index</t>
  </si>
  <si>
    <t>FinalTB</t>
  </si>
  <si>
    <t>FinalTB is the final tiebreaker in case everything else is equal.</t>
  </si>
  <si>
    <t>T</t>
  </si>
  <si>
    <t>M</t>
  </si>
  <si>
    <t>H2H PD</t>
  </si>
  <si>
    <t>H2H P</t>
  </si>
  <si>
    <t>H2H TB1</t>
  </si>
  <si>
    <t>H2H TB2</t>
  </si>
  <si>
    <t>Final TB</t>
  </si>
  <si>
    <t>Complete?</t>
  </si>
  <si>
    <t>Diff</t>
  </si>
  <si>
    <t>1-2-X</t>
  </si>
  <si>
    <t>Winner</t>
  </si>
  <si>
    <t>Final</t>
  </si>
  <si>
    <t>ARK</t>
  </si>
  <si>
    <t>UTC</t>
  </si>
  <si>
    <t>NSCF</t>
  </si>
  <si>
    <t>For this season, the teams are ranked alphabetically</t>
  </si>
  <si>
    <t>Sniper University</t>
  </si>
  <si>
    <t>Novibruk University</t>
  </si>
  <si>
    <t>Middle Point Academy</t>
  </si>
  <si>
    <t>Northumberland State</t>
  </si>
  <si>
    <t>Luther University</t>
  </si>
  <si>
    <t>Luther Field</t>
  </si>
  <si>
    <t>Northumberland Park</t>
  </si>
  <si>
    <t>The Wolf's Den</t>
  </si>
  <si>
    <t>Milli Stadium</t>
  </si>
  <si>
    <t>James A. Hudson Memorial Field</t>
  </si>
  <si>
    <t>Hudson State University</t>
  </si>
  <si>
    <t>University of Utica</t>
  </si>
  <si>
    <t>University of Arkinesia</t>
  </si>
  <si>
    <t>HomeRef</t>
  </si>
  <si>
    <t>AwayRef</t>
  </si>
  <si>
    <t>HomePts</t>
  </si>
  <si>
    <t>AwayPts</t>
  </si>
  <si>
    <t>S1</t>
  </si>
  <si>
    <t>S2</t>
  </si>
  <si>
    <t>E1</t>
  </si>
  <si>
    <t>E2</t>
  </si>
  <si>
    <t>D1</t>
  </si>
  <si>
    <t>D2</t>
  </si>
  <si>
    <t>K Factor</t>
  </si>
  <si>
    <t>F Factor</t>
  </si>
  <si>
    <t>CLD</t>
  </si>
  <si>
    <t>HDS</t>
  </si>
  <si>
    <t>LUT</t>
  </si>
  <si>
    <t>MPT</t>
  </si>
  <si>
    <t>NRT</t>
  </si>
  <si>
    <t>NOV</t>
  </si>
  <si>
    <t>SNP</t>
  </si>
  <si>
    <t>NationStates College Football Season One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</si>
</sst>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9"/>
      <color indexed="9"/>
      <name val="Verdana"/>
      <family val="2"/>
    </font>
    <font>
      <sz val="6"/>
      <name val="Times New Roman"/>
      <family val="1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 inden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29" xfId="0" applyNumberFormat="1" applyBorder="1" applyAlignment="1" applyProtection="1">
      <alignment horizontal="center"/>
      <protection hidden="1"/>
    </xf>
    <xf numFmtId="49" fontId="0" fillId="0" borderId="20" xfId="0" applyNumberFormat="1" applyBorder="1" applyAlignment="1" applyProtection="1">
      <alignment horizontal="center"/>
      <protection hidden="1"/>
    </xf>
    <xf numFmtId="0" fontId="0" fillId="4" borderId="29" xfId="0" applyFill="1" applyBorder="1" applyAlignment="1" applyProtection="1">
      <alignment horizontal="left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0" fillId="3" borderId="29" xfId="0" applyFill="1" applyBorder="1" applyAlignment="1" applyProtection="1">
      <alignment horizontal="left" vertical="center"/>
      <protection hidden="1"/>
    </xf>
    <xf numFmtId="0" fontId="0" fillId="3" borderId="20" xfId="0" applyFill="1" applyBorder="1" applyAlignment="1" applyProtection="1">
      <alignment horizontal="left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vertical="center"/>
      <protection hidden="1"/>
    </xf>
    <xf numFmtId="0" fontId="0" fillId="3" borderId="21" xfId="0" applyFill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49" fontId="0" fillId="4" borderId="29" xfId="0" applyNumberFormat="1" applyFill="1" applyBorder="1" applyAlignment="1" applyProtection="1">
      <alignment horizontal="center" vertical="center"/>
      <protection hidden="1"/>
    </xf>
    <xf numFmtId="49" fontId="0" fillId="3" borderId="28" xfId="0" applyNumberFormat="1" applyFill="1" applyBorder="1" applyAlignment="1" applyProtection="1">
      <alignment horizontal="center" vertical="center"/>
      <protection hidden="1"/>
    </xf>
    <xf numFmtId="49" fontId="0" fillId="3" borderId="4" xfId="0" applyNumberFormat="1" applyFill="1" applyBorder="1" applyAlignment="1" applyProtection="1">
      <alignment horizontal="center" vertical="center"/>
      <protection hidden="1"/>
    </xf>
    <xf numFmtId="49" fontId="0" fillId="3" borderId="2" xfId="0" applyNumberForma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49" fontId="6" fillId="4" borderId="28" xfId="0" applyNumberFormat="1" applyFont="1" applyFill="1" applyBorder="1" applyAlignment="1" applyProtection="1">
      <alignment vertical="center"/>
      <protection hidden="1"/>
    </xf>
    <xf numFmtId="49" fontId="6" fillId="4" borderId="21" xfId="0" applyNumberFormat="1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right" indent="1"/>
      <protection hidden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hidden="1"/>
    </xf>
    <xf numFmtId="49" fontId="0" fillId="0" borderId="21" xfId="0" applyNumberFormat="1" applyBorder="1" applyAlignment="1" applyProtection="1">
      <alignment horizontal="center"/>
      <protection hidden="1"/>
    </xf>
    <xf numFmtId="16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169" fontId="0" fillId="0" borderId="1" xfId="0" applyNumberFormat="1" applyBorder="1" applyAlignment="1">
      <alignment horizontal="center"/>
    </xf>
    <xf numFmtId="0" fontId="0" fillId="0" borderId="22" xfId="0" applyBorder="1" applyAlignment="1" applyProtection="1">
      <alignment horizontal="right" indent="1"/>
      <protection hidden="1"/>
    </xf>
    <xf numFmtId="0" fontId="0" fillId="0" borderId="5" xfId="0" applyBorder="1" applyAlignment="1" applyProtection="1">
      <alignment horizontal="right" indent="1"/>
      <protection hidden="1"/>
    </xf>
    <xf numFmtId="0" fontId="0" fillId="0" borderId="3" xfId="0" applyBorder="1" applyAlignment="1" applyProtection="1">
      <alignment horizontal="right" indent="1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5" xfId="0" applyBorder="1" applyAlignment="1" applyProtection="1">
      <alignment horizontal="left" indent="1"/>
      <protection hidden="1"/>
    </xf>
    <xf numFmtId="0" fontId="0" fillId="0" borderId="3" xfId="0" applyBorder="1" applyAlignment="1" applyProtection="1">
      <alignment horizontal="left" inden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9" fontId="0" fillId="0" borderId="2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 applyProtection="1">
      <alignment horizontal="center" vertical="center" wrapText="1"/>
      <protection hidden="1"/>
    </xf>
    <xf numFmtId="0" fontId="7" fillId="3" borderId="3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2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9.140625" style="90" customWidth="1"/>
    <col min="2" max="2" width="27.7109375" style="9" bestFit="1" customWidth="1"/>
    <col min="3" max="3" width="36.28125" style="9" bestFit="1" customWidth="1"/>
    <col min="4" max="4" width="12.8515625" style="9" bestFit="1" customWidth="1"/>
    <col min="5" max="5" width="7.8515625" style="13" bestFit="1" customWidth="1"/>
    <col min="6" max="6" width="9.140625" style="9" customWidth="1"/>
    <col min="7" max="15" width="9.140625" style="90" customWidth="1"/>
    <col min="16" max="16384" width="9.140625" style="9" customWidth="1"/>
  </cols>
  <sheetData>
    <row r="1" spans="2:6" ht="7.5" customHeight="1" thickBot="1">
      <c r="B1" s="90"/>
      <c r="C1" s="90"/>
      <c r="D1" s="90"/>
      <c r="E1" s="91"/>
      <c r="F1" s="90"/>
    </row>
    <row r="2" spans="2:6" ht="10.5" customHeight="1" thickBot="1">
      <c r="B2" s="156" t="s">
        <v>84</v>
      </c>
      <c r="C2" s="157"/>
      <c r="D2" s="152" t="s">
        <v>75</v>
      </c>
      <c r="E2" s="153"/>
      <c r="F2" s="117">
        <v>32</v>
      </c>
    </row>
    <row r="3" spans="2:6" ht="10.5" customHeight="1" thickBot="1">
      <c r="B3" s="158"/>
      <c r="C3" s="159"/>
      <c r="D3" s="154" t="s">
        <v>76</v>
      </c>
      <c r="E3" s="155"/>
      <c r="F3" s="116">
        <v>400</v>
      </c>
    </row>
    <row r="4" spans="2:6" ht="7.5" customHeight="1" thickBot="1">
      <c r="B4" s="90"/>
      <c r="C4" s="90"/>
      <c r="D4" s="90"/>
      <c r="E4" s="91"/>
      <c r="F4" s="90"/>
    </row>
    <row r="5" spans="2:6" ht="12" thickBot="1">
      <c r="B5" s="10" t="s">
        <v>12</v>
      </c>
      <c r="C5" s="11" t="s">
        <v>11</v>
      </c>
      <c r="D5" s="12" t="s">
        <v>18</v>
      </c>
      <c r="E5" s="14" t="s">
        <v>31</v>
      </c>
      <c r="F5" s="14" t="s">
        <v>34</v>
      </c>
    </row>
    <row r="6" spans="2:6" ht="11.25">
      <c r="B6" s="52" t="s">
        <v>64</v>
      </c>
      <c r="C6" s="53" t="s">
        <v>28</v>
      </c>
      <c r="D6" s="49" t="s">
        <v>50</v>
      </c>
      <c r="E6" s="15" t="s">
        <v>48</v>
      </c>
      <c r="F6" s="15">
        <v>1</v>
      </c>
    </row>
    <row r="7" spans="2:6" ht="11.25">
      <c r="B7" s="54" t="s">
        <v>19</v>
      </c>
      <c r="C7" s="55" t="s">
        <v>25</v>
      </c>
      <c r="D7" s="50" t="s">
        <v>50</v>
      </c>
      <c r="E7" s="15" t="s">
        <v>77</v>
      </c>
      <c r="F7" s="15">
        <v>2</v>
      </c>
    </row>
    <row r="8" spans="2:6" ht="11.25">
      <c r="B8" s="54" t="s">
        <v>62</v>
      </c>
      <c r="C8" s="55" t="s">
        <v>61</v>
      </c>
      <c r="D8" s="50" t="s">
        <v>50</v>
      </c>
      <c r="E8" s="15" t="s">
        <v>78</v>
      </c>
      <c r="F8" s="15">
        <v>3</v>
      </c>
    </row>
    <row r="9" spans="2:6" ht="11.25">
      <c r="B9" s="54" t="s">
        <v>56</v>
      </c>
      <c r="C9" s="55" t="s">
        <v>57</v>
      </c>
      <c r="D9" s="50" t="s">
        <v>50</v>
      </c>
      <c r="E9" s="15" t="s">
        <v>79</v>
      </c>
      <c r="F9" s="15">
        <v>4</v>
      </c>
    </row>
    <row r="10" spans="2:6" ht="11.25">
      <c r="B10" s="54" t="s">
        <v>54</v>
      </c>
      <c r="C10" s="55" t="s">
        <v>60</v>
      </c>
      <c r="D10" s="50" t="s">
        <v>50</v>
      </c>
      <c r="E10" s="15" t="s">
        <v>80</v>
      </c>
      <c r="F10" s="15">
        <v>5</v>
      </c>
    </row>
    <row r="11" spans="2:6" ht="11.25">
      <c r="B11" s="54" t="s">
        <v>55</v>
      </c>
      <c r="C11" s="55" t="s">
        <v>58</v>
      </c>
      <c r="D11" s="50" t="s">
        <v>50</v>
      </c>
      <c r="E11" s="15" t="s">
        <v>81</v>
      </c>
      <c r="F11" s="15">
        <v>6</v>
      </c>
    </row>
    <row r="12" spans="2:6" ht="11.25">
      <c r="B12" s="54" t="s">
        <v>53</v>
      </c>
      <c r="C12" s="55" t="s">
        <v>59</v>
      </c>
      <c r="D12" s="50" t="s">
        <v>50</v>
      </c>
      <c r="E12" s="15" t="s">
        <v>82</v>
      </c>
      <c r="F12" s="15">
        <v>7</v>
      </c>
    </row>
    <row r="13" spans="2:6" ht="11.25">
      <c r="B13" s="54" t="s">
        <v>20</v>
      </c>
      <c r="C13" s="55" t="s">
        <v>29</v>
      </c>
      <c r="D13" s="50" t="s">
        <v>50</v>
      </c>
      <c r="E13" s="15" t="s">
        <v>32</v>
      </c>
      <c r="F13" s="15">
        <v>8</v>
      </c>
    </row>
    <row r="14" spans="2:6" ht="11.25">
      <c r="B14" s="54" t="s">
        <v>52</v>
      </c>
      <c r="C14" s="55" t="s">
        <v>11</v>
      </c>
      <c r="D14" s="50" t="s">
        <v>50</v>
      </c>
      <c r="E14" s="15" t="s">
        <v>83</v>
      </c>
      <c r="F14" s="15">
        <v>9</v>
      </c>
    </row>
    <row r="15" spans="2:6" ht="12" thickBot="1">
      <c r="B15" s="56" t="s">
        <v>63</v>
      </c>
      <c r="C15" s="57" t="s">
        <v>24</v>
      </c>
      <c r="D15" s="51" t="s">
        <v>50</v>
      </c>
      <c r="E15" s="16" t="s">
        <v>49</v>
      </c>
      <c r="F15" s="16">
        <v>10</v>
      </c>
    </row>
    <row r="16" spans="2:6" s="89" customFormat="1" ht="11.25">
      <c r="B16" s="87"/>
      <c r="C16" s="87"/>
      <c r="D16" s="87"/>
      <c r="E16" s="88"/>
      <c r="F16" s="88"/>
    </row>
    <row r="17" spans="2:6" s="89" customFormat="1" ht="11.25">
      <c r="B17" s="87"/>
      <c r="C17" s="87"/>
      <c r="D17" s="87"/>
      <c r="E17" s="88"/>
      <c r="F17" s="88"/>
    </row>
    <row r="18" spans="2:6" s="89" customFormat="1" ht="11.25">
      <c r="B18" s="87"/>
      <c r="C18" s="87"/>
      <c r="D18" s="87"/>
      <c r="E18" s="88"/>
      <c r="F18" s="88"/>
    </row>
    <row r="19" spans="2:6" s="89" customFormat="1" ht="11.25">
      <c r="B19" s="87"/>
      <c r="C19" s="87"/>
      <c r="D19" s="87"/>
      <c r="E19" s="88"/>
      <c r="F19" s="88"/>
    </row>
    <row r="20" spans="2:6" s="89" customFormat="1" ht="11.25">
      <c r="B20" s="87"/>
      <c r="C20" s="87"/>
      <c r="D20" s="87"/>
      <c r="E20" s="88"/>
      <c r="F20" s="88"/>
    </row>
    <row r="21" spans="2:6" s="89" customFormat="1" ht="11.25">
      <c r="B21" s="87"/>
      <c r="C21" s="87"/>
      <c r="D21" s="87"/>
      <c r="E21" s="88"/>
      <c r="F21" s="88"/>
    </row>
    <row r="22" spans="2:6" s="89" customFormat="1" ht="11.25">
      <c r="B22" s="87"/>
      <c r="C22" s="87"/>
      <c r="D22" s="87"/>
      <c r="E22" s="88"/>
      <c r="F22" s="88"/>
    </row>
    <row r="23" spans="2:6" s="89" customFormat="1" ht="11.25">
      <c r="B23" s="87"/>
      <c r="C23" s="87"/>
      <c r="D23" s="87"/>
      <c r="E23" s="88"/>
      <c r="F23" s="88"/>
    </row>
    <row r="24" spans="2:6" s="89" customFormat="1" ht="11.25">
      <c r="B24" s="87"/>
      <c r="C24" s="87"/>
      <c r="D24" s="87"/>
      <c r="E24" s="88"/>
      <c r="F24" s="88"/>
    </row>
    <row r="25" spans="2:6" s="89" customFormat="1" ht="11.25">
      <c r="B25" s="87"/>
      <c r="C25" s="87"/>
      <c r="D25" s="87"/>
      <c r="E25" s="88"/>
      <c r="F25" s="88"/>
    </row>
    <row r="26" spans="2:6" s="89" customFormat="1" ht="11.25">
      <c r="B26" s="87"/>
      <c r="C26" s="87"/>
      <c r="D26" s="87"/>
      <c r="E26" s="88"/>
      <c r="F26" s="88"/>
    </row>
    <row r="27" spans="2:6" s="89" customFormat="1" ht="11.25">
      <c r="B27" s="87"/>
      <c r="C27" s="87"/>
      <c r="D27" s="87"/>
      <c r="E27" s="88"/>
      <c r="F27" s="88"/>
    </row>
    <row r="28" spans="2:6" s="89" customFormat="1" ht="11.25">
      <c r="B28" s="87"/>
      <c r="C28" s="87"/>
      <c r="D28" s="87"/>
      <c r="E28" s="88"/>
      <c r="F28" s="88"/>
    </row>
    <row r="29" spans="2:6" s="89" customFormat="1" ht="11.25">
      <c r="B29" s="87"/>
      <c r="C29" s="87"/>
      <c r="D29" s="87"/>
      <c r="E29" s="88"/>
      <c r="F29" s="88"/>
    </row>
    <row r="30" spans="2:6" s="89" customFormat="1" ht="11.25">
      <c r="B30" s="87"/>
      <c r="C30" s="87"/>
      <c r="D30" s="87"/>
      <c r="E30" s="88"/>
      <c r="F30" s="88"/>
    </row>
    <row r="31" spans="2:6" s="89" customFormat="1" ht="11.25">
      <c r="B31" s="87"/>
      <c r="C31" s="87"/>
      <c r="D31" s="87"/>
      <c r="E31" s="88"/>
      <c r="F31" s="88"/>
    </row>
    <row r="32" spans="2:6" s="89" customFormat="1" ht="11.25">
      <c r="B32" s="87"/>
      <c r="C32" s="87"/>
      <c r="D32" s="87"/>
      <c r="E32" s="88"/>
      <c r="F32" s="88"/>
    </row>
    <row r="33" spans="2:6" s="89" customFormat="1" ht="11.25">
      <c r="B33" s="87"/>
      <c r="C33" s="87"/>
      <c r="D33" s="87"/>
      <c r="E33" s="88"/>
      <c r="F33" s="88"/>
    </row>
    <row r="34" spans="2:6" s="89" customFormat="1" ht="11.25">
      <c r="B34" s="87"/>
      <c r="C34" s="87"/>
      <c r="D34" s="87"/>
      <c r="E34" s="88"/>
      <c r="F34" s="88"/>
    </row>
    <row r="35" spans="2:6" s="89" customFormat="1" ht="11.25">
      <c r="B35" s="87"/>
      <c r="C35" s="87"/>
      <c r="D35" s="87"/>
      <c r="E35" s="88"/>
      <c r="F35" s="88"/>
    </row>
    <row r="36" spans="2:6" s="89" customFormat="1" ht="11.25">
      <c r="B36" s="87"/>
      <c r="C36" s="87"/>
      <c r="D36" s="87"/>
      <c r="E36" s="88"/>
      <c r="F36" s="88"/>
    </row>
    <row r="37" spans="2:6" s="89" customFormat="1" ht="11.25">
      <c r="B37" s="87"/>
      <c r="C37" s="87"/>
      <c r="D37" s="87"/>
      <c r="E37" s="88"/>
      <c r="F37" s="88"/>
    </row>
    <row r="38" spans="2:6" ht="11.25">
      <c r="B38" s="90"/>
      <c r="C38" s="90"/>
      <c r="D38" s="90"/>
      <c r="E38" s="91"/>
      <c r="F38" s="90"/>
    </row>
    <row r="39" spans="2:6" ht="11.25">
      <c r="B39" s="90" t="s">
        <v>35</v>
      </c>
      <c r="C39" s="90"/>
      <c r="D39" s="90"/>
      <c r="E39" s="91"/>
      <c r="F39" s="90"/>
    </row>
    <row r="40" spans="2:6" ht="11.25">
      <c r="B40" s="90" t="s">
        <v>51</v>
      </c>
      <c r="C40" s="90"/>
      <c r="D40" s="90"/>
      <c r="E40" s="91"/>
      <c r="F40" s="90"/>
    </row>
    <row r="41" spans="2:6" ht="11.25">
      <c r="B41" s="90"/>
      <c r="C41" s="90"/>
      <c r="D41" s="90"/>
      <c r="E41" s="91"/>
      <c r="F41" s="90"/>
    </row>
    <row r="42" spans="2:6" ht="11.25">
      <c r="B42" s="90"/>
      <c r="C42" s="90"/>
      <c r="D42" s="90"/>
      <c r="E42" s="91"/>
      <c r="F42" s="90"/>
    </row>
    <row r="43" spans="2:6" ht="11.25">
      <c r="B43" s="90"/>
      <c r="C43" s="90"/>
      <c r="D43" s="90"/>
      <c r="E43" s="91"/>
      <c r="F43" s="90"/>
    </row>
    <row r="44" spans="2:6" ht="11.25">
      <c r="B44" s="90"/>
      <c r="C44" s="90"/>
      <c r="D44" s="90"/>
      <c r="E44" s="91"/>
      <c r="F44" s="90"/>
    </row>
    <row r="45" spans="2:6" ht="11.25">
      <c r="B45" s="90"/>
      <c r="C45" s="90"/>
      <c r="D45" s="90"/>
      <c r="E45" s="91"/>
      <c r="F45" s="90"/>
    </row>
  </sheetData>
  <sheetProtection sheet="1" objects="1" scenarios="1" selectLockedCells="1"/>
  <mergeCells count="3">
    <mergeCell ref="D2:E2"/>
    <mergeCell ref="D3:E3"/>
    <mergeCell ref="B2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0"/>
  <sheetViews>
    <sheetView workbookViewId="0" topLeftCell="A1">
      <selection activeCell="BL8" sqref="BL8"/>
    </sheetView>
  </sheetViews>
  <sheetFormatPr defaultColWidth="9.140625" defaultRowHeight="12.75"/>
  <cols>
    <col min="1" max="1" width="1.421875" style="78" customWidth="1"/>
    <col min="2" max="2" width="9.140625" style="80" customWidth="1"/>
    <col min="3" max="3" width="24.140625" style="80" bestFit="1" customWidth="1"/>
    <col min="4" max="4" width="10.28125" style="80" bestFit="1" customWidth="1"/>
    <col min="5" max="5" width="7.140625" style="81" bestFit="1" customWidth="1"/>
    <col min="6" max="35" width="2.140625" style="80" hidden="1" customWidth="1"/>
    <col min="36" max="36" width="5.7109375" style="80" customWidth="1"/>
    <col min="37" max="37" width="4.28125" style="80" customWidth="1"/>
    <col min="38" max="44" width="6.421875" style="80" customWidth="1"/>
    <col min="45" max="62" width="4.28125" style="80" hidden="1" customWidth="1"/>
    <col min="63" max="63" width="6.421875" style="80" hidden="1" customWidth="1"/>
    <col min="64" max="67" width="9.140625" style="78" customWidth="1"/>
    <col min="68" max="16384" width="9.140625" style="80" customWidth="1"/>
  </cols>
  <sheetData>
    <row r="1" spans="2:63" ht="7.5" customHeight="1" thickBot="1"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</row>
    <row r="2" spans="2:63" ht="13.5" thickBot="1">
      <c r="B2" s="166" t="s">
        <v>10</v>
      </c>
      <c r="C2" s="175" t="s">
        <v>9</v>
      </c>
      <c r="D2" s="168" t="s">
        <v>18</v>
      </c>
      <c r="E2" s="160" t="s">
        <v>31</v>
      </c>
      <c r="F2" s="166" t="s">
        <v>30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64" t="s">
        <v>39</v>
      </c>
      <c r="AK2" s="162" t="s">
        <v>38</v>
      </c>
      <c r="AL2" s="162" t="s">
        <v>21</v>
      </c>
      <c r="AM2" s="162" t="s">
        <v>40</v>
      </c>
      <c r="AN2" s="162" t="s">
        <v>41</v>
      </c>
      <c r="AO2" s="162" t="s">
        <v>8</v>
      </c>
      <c r="AP2" s="162" t="s">
        <v>22</v>
      </c>
      <c r="AQ2" s="162" t="s">
        <v>23</v>
      </c>
      <c r="AR2" s="162" t="s">
        <v>47</v>
      </c>
      <c r="AS2" s="174" t="s">
        <v>0</v>
      </c>
      <c r="AT2" s="174"/>
      <c r="AU2" s="174"/>
      <c r="AV2" s="174"/>
      <c r="AW2" s="174"/>
      <c r="AX2" s="174"/>
      <c r="AY2" s="170" t="s">
        <v>7</v>
      </c>
      <c r="AZ2" s="171"/>
      <c r="BA2" s="171"/>
      <c r="BB2" s="171"/>
      <c r="BC2" s="171"/>
      <c r="BD2" s="171"/>
      <c r="BE2" s="171" t="s">
        <v>6</v>
      </c>
      <c r="BF2" s="171"/>
      <c r="BG2" s="171"/>
      <c r="BH2" s="171"/>
      <c r="BI2" s="171"/>
      <c r="BJ2" s="173"/>
      <c r="BK2" s="164" t="s">
        <v>42</v>
      </c>
    </row>
    <row r="3" spans="2:63" ht="13.5" thickBot="1">
      <c r="B3" s="167"/>
      <c r="C3" s="176"/>
      <c r="D3" s="169"/>
      <c r="E3" s="161"/>
      <c r="F3" s="75" t="s">
        <v>36</v>
      </c>
      <c r="G3" s="76" t="s">
        <v>37</v>
      </c>
      <c r="H3" s="77" t="s">
        <v>1</v>
      </c>
      <c r="I3" s="76" t="s">
        <v>36</v>
      </c>
      <c r="J3" s="76" t="s">
        <v>37</v>
      </c>
      <c r="K3" s="77" t="s">
        <v>1</v>
      </c>
      <c r="L3" s="76" t="s">
        <v>36</v>
      </c>
      <c r="M3" s="76" t="s">
        <v>37</v>
      </c>
      <c r="N3" s="77" t="s">
        <v>1</v>
      </c>
      <c r="O3" s="76" t="s">
        <v>36</v>
      </c>
      <c r="P3" s="76" t="s">
        <v>37</v>
      </c>
      <c r="Q3" s="77" t="s">
        <v>1</v>
      </c>
      <c r="R3" s="76" t="s">
        <v>36</v>
      </c>
      <c r="S3" s="76" t="s">
        <v>37</v>
      </c>
      <c r="T3" s="77" t="s">
        <v>1</v>
      </c>
      <c r="U3" s="76" t="s">
        <v>36</v>
      </c>
      <c r="V3" s="76" t="s">
        <v>37</v>
      </c>
      <c r="W3" s="77" t="s">
        <v>1</v>
      </c>
      <c r="X3" s="76" t="s">
        <v>36</v>
      </c>
      <c r="Y3" s="76" t="s">
        <v>37</v>
      </c>
      <c r="Z3" s="77" t="s">
        <v>1</v>
      </c>
      <c r="AA3" s="76" t="s">
        <v>36</v>
      </c>
      <c r="AB3" s="76" t="s">
        <v>37</v>
      </c>
      <c r="AC3" s="77" t="s">
        <v>1</v>
      </c>
      <c r="AD3" s="76" t="s">
        <v>36</v>
      </c>
      <c r="AE3" s="76" t="s">
        <v>37</v>
      </c>
      <c r="AF3" s="77" t="s">
        <v>1</v>
      </c>
      <c r="AG3" s="76" t="s">
        <v>36</v>
      </c>
      <c r="AH3" s="76" t="s">
        <v>37</v>
      </c>
      <c r="AI3" s="77" t="s">
        <v>1</v>
      </c>
      <c r="AJ3" s="151"/>
      <c r="AK3" s="151"/>
      <c r="AL3" s="163"/>
      <c r="AM3" s="163"/>
      <c r="AN3" s="163"/>
      <c r="AO3" s="163"/>
      <c r="AP3" s="163"/>
      <c r="AQ3" s="163"/>
      <c r="AR3" s="163"/>
      <c r="AS3" s="41" t="s">
        <v>1</v>
      </c>
      <c r="AT3" s="41" t="s">
        <v>2</v>
      </c>
      <c r="AU3" s="41" t="s">
        <v>3</v>
      </c>
      <c r="AV3" s="41" t="s">
        <v>4</v>
      </c>
      <c r="AW3" s="41" t="s">
        <v>5</v>
      </c>
      <c r="AX3" s="41" t="s">
        <v>8</v>
      </c>
      <c r="AY3" s="74" t="s">
        <v>1</v>
      </c>
      <c r="AZ3" s="48" t="s">
        <v>2</v>
      </c>
      <c r="BA3" s="48" t="s">
        <v>3</v>
      </c>
      <c r="BB3" s="48" t="s">
        <v>4</v>
      </c>
      <c r="BC3" s="48" t="s">
        <v>5</v>
      </c>
      <c r="BD3" s="48" t="s">
        <v>8</v>
      </c>
      <c r="BE3" s="48" t="s">
        <v>1</v>
      </c>
      <c r="BF3" s="48" t="s">
        <v>2</v>
      </c>
      <c r="BG3" s="48" t="s">
        <v>3</v>
      </c>
      <c r="BH3" s="48" t="s">
        <v>4</v>
      </c>
      <c r="BI3" s="48" t="s">
        <v>5</v>
      </c>
      <c r="BJ3" s="66" t="s">
        <v>8</v>
      </c>
      <c r="BK3" s="165"/>
    </row>
    <row r="4" spans="2:63" ht="13.5" thickBot="1">
      <c r="B4" s="58"/>
      <c r="C4" s="64"/>
      <c r="D4" s="59"/>
      <c r="E4" s="97"/>
      <c r="F4" s="114" t="s">
        <v>77</v>
      </c>
      <c r="G4" s="114" t="s">
        <v>77</v>
      </c>
      <c r="H4" s="114" t="s">
        <v>77</v>
      </c>
      <c r="I4" s="115" t="s">
        <v>32</v>
      </c>
      <c r="J4" s="115" t="s">
        <v>32</v>
      </c>
      <c r="K4" s="115" t="s">
        <v>32</v>
      </c>
      <c r="L4" s="115" t="s">
        <v>48</v>
      </c>
      <c r="M4" s="115" t="s">
        <v>48</v>
      </c>
      <c r="N4" s="115" t="s">
        <v>48</v>
      </c>
      <c r="O4" s="115" t="s">
        <v>49</v>
      </c>
      <c r="P4" s="115" t="s">
        <v>49</v>
      </c>
      <c r="Q4" s="115" t="s">
        <v>49</v>
      </c>
      <c r="R4" s="115" t="s">
        <v>83</v>
      </c>
      <c r="S4" s="115" t="s">
        <v>83</v>
      </c>
      <c r="T4" s="115" t="s">
        <v>83</v>
      </c>
      <c r="U4" s="115" t="s">
        <v>82</v>
      </c>
      <c r="V4" s="115" t="s">
        <v>82</v>
      </c>
      <c r="W4" s="115" t="s">
        <v>82</v>
      </c>
      <c r="X4" s="115" t="s">
        <v>78</v>
      </c>
      <c r="Y4" s="115" t="s">
        <v>78</v>
      </c>
      <c r="Z4" s="115" t="s">
        <v>78</v>
      </c>
      <c r="AA4" s="115" t="s">
        <v>80</v>
      </c>
      <c r="AB4" s="115" t="s">
        <v>80</v>
      </c>
      <c r="AC4" s="115" t="s">
        <v>80</v>
      </c>
      <c r="AD4" s="115" t="s">
        <v>81</v>
      </c>
      <c r="AE4" s="115" t="s">
        <v>81</v>
      </c>
      <c r="AF4" s="115" t="s">
        <v>81</v>
      </c>
      <c r="AG4" s="115" t="s">
        <v>79</v>
      </c>
      <c r="AH4" s="115" t="s">
        <v>79</v>
      </c>
      <c r="AI4" s="115" t="s">
        <v>79</v>
      </c>
      <c r="AJ4" s="92"/>
      <c r="AK4" s="93"/>
      <c r="AL4" s="93"/>
      <c r="AM4" s="93"/>
      <c r="AN4" s="93"/>
      <c r="AO4" s="93"/>
      <c r="AP4" s="93"/>
      <c r="AQ4" s="93"/>
      <c r="AR4" s="93"/>
      <c r="AS4" s="94"/>
      <c r="AT4" s="94"/>
      <c r="AU4" s="94"/>
      <c r="AV4" s="94"/>
      <c r="AW4" s="94"/>
      <c r="AX4" s="93"/>
      <c r="AY4" s="94"/>
      <c r="AZ4" s="94"/>
      <c r="BA4" s="94"/>
      <c r="BB4" s="94"/>
      <c r="BC4" s="94"/>
      <c r="BD4" s="93"/>
      <c r="BE4" s="94"/>
      <c r="BF4" s="94"/>
      <c r="BG4" s="94"/>
      <c r="BH4" s="94"/>
      <c r="BI4" s="94"/>
      <c r="BJ4" s="93"/>
      <c r="BK4" s="93"/>
    </row>
    <row r="5" spans="2:63" ht="12.75">
      <c r="B5" s="65">
        <f aca="true" t="shared" si="0" ref="B5:B14">SUM(AL5:AR5)</f>
        <v>1</v>
      </c>
      <c r="C5" s="72" t="str">
        <f>Teams!B6</f>
        <v>University of Arkinesia</v>
      </c>
      <c r="D5" s="43" t="str">
        <f>INDEX(Teams!$B$5:$D$37,MATCH('Dummy Standings'!$C5,Teams!$B$5:$B$37,0),COLUMN()-1)</f>
        <v>NSCF</v>
      </c>
      <c r="E5" s="98" t="str">
        <f>INDEX(Teams!$B$5:$F$37,MATCH('Dummy Standings'!$C5,Teams!$B$5:$B$37,0),COLUMN()-1)</f>
        <v>ARK</v>
      </c>
      <c r="F5" s="65">
        <f aca="true" t="shared" si="1" ref="F5:F14">IF($E5=F$4,0,IF($AL5=INDEX($B$5:$BJ$14,MATCH(F$4,$E$5:$E$14,0),31),1,0))</f>
        <v>0</v>
      </c>
      <c r="G5" s="42">
        <f>SUMPRODUCT((Results!$J$2:$J$47=G$4&amp;$E5)+0,(Results!$L$2:$L$47))+SUMPRODUCT((Results!$J$2:$J$47=$E5&amp;G$4)+0,(Results!$L$2:$L$47))</f>
        <v>1</v>
      </c>
      <c r="H5" s="43">
        <f>IF(ISERROR(IF(H$4=$E5,0,INDEX(Results!$B$2:$N$47,MATCH('Dummy Standings'!$E5&amp;'Dummy Standings'!H$4,Results!$J$2:$J$47,0),4)-INDEX(Results!$B$2:$N$47,MATCH('Dummy Standings'!$E5&amp;'Dummy Standings'!H$4,Results!$J$2:$J$47,0),5))),0,IF(H$4=$E5,0,INDEX(Results!$B$2:$N$47,MATCH('Dummy Standings'!$E5&amp;'Dummy Standings'!H$4,Results!$J$2:$J$47,0),4)-INDEX(Results!$B$2:$N$47,MATCH('Dummy Standings'!$E5&amp;'Dummy Standings'!H$4,Results!$J$2:$J$47,0),5)))</f>
        <v>0</v>
      </c>
      <c r="I5" s="42">
        <f aca="true" t="shared" si="2" ref="I5:I14">IF($E5=I$4,0,IF($AL5=INDEX($B$5:$BJ$14,MATCH(I$4,$E$5:$E$14,0),31),1,0))</f>
        <v>0</v>
      </c>
      <c r="J5" s="42">
        <f>SUMPRODUCT((Results!$J$2:$J$47=J$4&amp;$E5)+0,(Results!$L$2:$L$47))+SUMPRODUCT((Results!$J$2:$J$47=$E5&amp;J$4)+0,(Results!$L$2:$L$47))</f>
        <v>1</v>
      </c>
      <c r="K5" s="43">
        <f>IF(ISERROR(IF(K$4=$E5,0,INDEX(Results!$B$2:$N$47,MATCH('Dummy Standings'!$E5&amp;'Dummy Standings'!K$4,Results!$J$2:$J$47,0),4)-INDEX(Results!$B$2:$N$47,MATCH('Dummy Standings'!$E5&amp;'Dummy Standings'!K$4,Results!$J$2:$J$47,0),5))),0,IF(K$4=$E5,0,INDEX(Results!$B$2:$N$47,MATCH('Dummy Standings'!$E5&amp;'Dummy Standings'!K$4,Results!$J$2:$J$47,0),4)-INDEX(Results!$B$2:$N$47,MATCH('Dummy Standings'!$E5&amp;'Dummy Standings'!K$4,Results!$J$2:$J$47,0),5)))</f>
        <v>0</v>
      </c>
      <c r="L5" s="42">
        <f aca="true" t="shared" si="3" ref="L5:L14">IF($E5=L$4,0,IF($AL5=INDEX($B$5:$BJ$14,MATCH(L$4,$E$5:$E$14,0),31),1,0))</f>
        <v>0</v>
      </c>
      <c r="M5" s="42">
        <f>SUMPRODUCT((Results!$J$2:$J$47=M$4&amp;$E5)+0,(Results!$L$2:$L$47))+SUMPRODUCT((Results!$J$2:$J$47=$E5&amp;M$4)+0,(Results!$L$2:$L$47))</f>
        <v>0</v>
      </c>
      <c r="N5" s="43">
        <f>IF(ISERROR(IF(N$4=$E5,0,INDEX(Results!$B$2:$N$47,MATCH('Dummy Standings'!$E5&amp;'Dummy Standings'!N$4,Results!$J$2:$J$47,0),4)-INDEX(Results!$B$2:$N$47,MATCH('Dummy Standings'!$E5&amp;'Dummy Standings'!N$4,Results!$J$2:$J$47,0),5))),0,IF(N$4=$E5,0,INDEX(Results!$B$2:$N$47,MATCH('Dummy Standings'!$E5&amp;'Dummy Standings'!N$4,Results!$J$2:$J$47,0),4)-INDEX(Results!$B$2:$N$47,MATCH('Dummy Standings'!$E5&amp;'Dummy Standings'!N$4,Results!$J$2:$J$47,0),5)))</f>
        <v>0</v>
      </c>
      <c r="O5" s="42">
        <f aca="true" t="shared" si="4" ref="O5:O14">IF($E5=O$4,0,IF($AL5=INDEX($B$5:$BJ$14,MATCH(O$4,$E$5:$E$14,0),31),1,0))</f>
        <v>0</v>
      </c>
      <c r="P5" s="42">
        <f>SUMPRODUCT((Results!$J$2:$J$47=P$4&amp;$E5)+0,(Results!$L$2:$L$47))+SUMPRODUCT((Results!$J$2:$J$47=$E5&amp;P$4)+0,(Results!$L$2:$L$47))</f>
        <v>1</v>
      </c>
      <c r="Q5" s="43">
        <f>IF(ISERROR(IF(Q$4=$E5,0,INDEX(Results!$B$2:$N$47,MATCH('Dummy Standings'!$E5&amp;'Dummy Standings'!Q$4,Results!$J$2:$J$47,0),4)-INDEX(Results!$B$2:$N$47,MATCH('Dummy Standings'!$E5&amp;'Dummy Standings'!Q$4,Results!$J$2:$J$47,0),5))),0,IF(Q$4=$E5,0,INDEX(Results!$B$2:$N$47,MATCH('Dummy Standings'!$E5&amp;'Dummy Standings'!Q$4,Results!$J$2:$J$47,0),4)-INDEX(Results!$B$2:$N$47,MATCH('Dummy Standings'!$E5&amp;'Dummy Standings'!Q$4,Results!$J$2:$J$47,0),5)))</f>
        <v>23</v>
      </c>
      <c r="R5" s="42">
        <f aca="true" t="shared" si="5" ref="R5:R14">IF($E5=R$4,0,IF($AL5=INDEX($B$5:$BJ$14,MATCH(R$4,$E$5:$E$14,0),31),1,0))</f>
        <v>1</v>
      </c>
      <c r="S5" s="42">
        <f>SUMPRODUCT((Results!$J$2:$J$47=S$4&amp;$E5)+0,(Results!$L$2:$L$47))+SUMPRODUCT((Results!$J$2:$J$47=$E5&amp;S$4)+0,(Results!$L$2:$L$47))</f>
        <v>1</v>
      </c>
      <c r="T5" s="43">
        <f>IF(ISERROR(IF(T$4=$E5,0,INDEX(Results!$B$2:$N$47,MATCH('Dummy Standings'!$E5&amp;'Dummy Standings'!T$4,Results!$J$2:$J$47,0),4)-INDEX(Results!$B$2:$N$47,MATCH('Dummy Standings'!$E5&amp;'Dummy Standings'!T$4,Results!$J$2:$J$47,0),5))),0,IF(T$4=$E5,0,INDEX(Results!$B$2:$N$47,MATCH('Dummy Standings'!$E5&amp;'Dummy Standings'!T$4,Results!$J$2:$J$47,0),4)-INDEX(Results!$B$2:$N$47,MATCH('Dummy Standings'!$E5&amp;'Dummy Standings'!T$4,Results!$J$2:$J$47,0),5)))</f>
        <v>7</v>
      </c>
      <c r="U5" s="42">
        <f aca="true" t="shared" si="6" ref="U5:U14">IF($E5=U$4,0,IF($AL5=INDEX($B$5:$BJ$14,MATCH(U$4,$E$5:$E$14,0),31),1,0))</f>
        <v>0</v>
      </c>
      <c r="V5" s="42">
        <f>SUMPRODUCT((Results!$J$2:$J$47=V$4&amp;$E5)+0,(Results!$L$2:$L$47))+SUMPRODUCT((Results!$J$2:$J$47=$E5&amp;V$4)+0,(Results!$L$2:$L$47))</f>
        <v>1</v>
      </c>
      <c r="W5" s="43">
        <f>IF(ISERROR(IF(W$4=$E5,0,INDEX(Results!$B$2:$N$47,MATCH('Dummy Standings'!$E5&amp;'Dummy Standings'!W$4,Results!$J$2:$J$47,0),4)-INDEX(Results!$B$2:$N$47,MATCH('Dummy Standings'!$E5&amp;'Dummy Standings'!W$4,Results!$J$2:$J$47,0),5))),0,IF(W$4=$E5,0,INDEX(Results!$B$2:$N$47,MATCH('Dummy Standings'!$E5&amp;'Dummy Standings'!W$4,Results!$J$2:$J$47,0),4)-INDEX(Results!$B$2:$N$47,MATCH('Dummy Standings'!$E5&amp;'Dummy Standings'!W$4,Results!$J$2:$J$47,0),5)))</f>
        <v>0</v>
      </c>
      <c r="X5" s="42">
        <f aca="true" t="shared" si="7" ref="X5:X14">IF($E5=X$4,0,IF($AL5=INDEX($B$5:$BJ$14,MATCH(X$4,$E$5:$E$14,0),31),1,0))</f>
        <v>0</v>
      </c>
      <c r="Y5" s="42">
        <f>SUMPRODUCT((Results!$J$2:$J$47=Y$4&amp;$E5)+0,(Results!$L$2:$L$47))+SUMPRODUCT((Results!$J$2:$J$47=$E5&amp;Y$4)+0,(Results!$L$2:$L$47))</f>
        <v>1</v>
      </c>
      <c r="Z5" s="43">
        <f>IF(ISERROR(IF(Z$4=$E5,0,INDEX(Results!$B$2:$N$47,MATCH('Dummy Standings'!$E5&amp;'Dummy Standings'!Z$4,Results!$J$2:$J$47,0),4)-INDEX(Results!$B$2:$N$47,MATCH('Dummy Standings'!$E5&amp;'Dummy Standings'!Z$4,Results!$J$2:$J$47,0),5))),0,IF(Z$4=$E5,0,INDEX(Results!$B$2:$N$47,MATCH('Dummy Standings'!$E5&amp;'Dummy Standings'!Z$4,Results!$J$2:$J$47,0),4)-INDEX(Results!$B$2:$N$47,MATCH('Dummy Standings'!$E5&amp;'Dummy Standings'!Z$4,Results!$J$2:$J$47,0),5)))</f>
        <v>3</v>
      </c>
      <c r="AA5" s="42">
        <f aca="true" t="shared" si="8" ref="AA5:AA14">IF($E5=AA$4,0,IF($AL5=INDEX($B$5:$BJ$14,MATCH(AA$4,$E$5:$E$14,0),31),1,0))</f>
        <v>0</v>
      </c>
      <c r="AB5" s="42">
        <f>SUMPRODUCT((Results!$J$2:$J$47=AB$4&amp;$E5)+0,(Results!$L$2:$L$47))+SUMPRODUCT((Results!$J$2:$J$47=$E5&amp;AB$4)+0,(Results!$L$2:$L$47))</f>
        <v>1</v>
      </c>
      <c r="AC5" s="43">
        <f>IF(ISERROR(IF(AC$4=$E5,0,INDEX(Results!$B$2:$N$47,MATCH('Dummy Standings'!$E5&amp;'Dummy Standings'!AC$4,Results!$J$2:$J$47,0),4)-INDEX(Results!$B$2:$N$47,MATCH('Dummy Standings'!$E5&amp;'Dummy Standings'!AC$4,Results!$J$2:$J$47,0),5))),0,IF(AC$4=$E5,0,INDEX(Results!$B$2:$N$47,MATCH('Dummy Standings'!$E5&amp;'Dummy Standings'!AC$4,Results!$J$2:$J$47,0),4)-INDEX(Results!$B$2:$N$47,MATCH('Dummy Standings'!$E5&amp;'Dummy Standings'!AC$4,Results!$J$2:$J$47,0),5)))</f>
        <v>38</v>
      </c>
      <c r="AD5" s="42">
        <f aca="true" t="shared" si="9" ref="AD5:AD14">IF($E5=AD$4,0,IF($AL5=INDEX($B$5:$BJ$14,MATCH(AD$4,$E$5:$E$14,0),31),1,0))</f>
        <v>0</v>
      </c>
      <c r="AE5" s="42">
        <f>SUMPRODUCT((Results!$J$2:$J$47=AE$4&amp;$E5)+0,(Results!$L$2:$L$47))+SUMPRODUCT((Results!$J$2:$J$47=$E5&amp;AE$4)+0,(Results!$L$2:$L$47))</f>
        <v>1</v>
      </c>
      <c r="AF5" s="43">
        <f>IF(ISERROR(IF(AF$4=$E5,0,INDEX(Results!$B$2:$N$47,MATCH('Dummy Standings'!$E5&amp;'Dummy Standings'!AF$4,Results!$J$2:$J$47,0),4)-INDEX(Results!$B$2:$N$47,MATCH('Dummy Standings'!$E5&amp;'Dummy Standings'!AF$4,Results!$J$2:$J$47,0),5))),0,IF(AF$4=$E5,0,INDEX(Results!$B$2:$N$47,MATCH('Dummy Standings'!$E5&amp;'Dummy Standings'!AF$4,Results!$J$2:$J$47,0),4)-INDEX(Results!$B$2:$N$47,MATCH('Dummy Standings'!$E5&amp;'Dummy Standings'!AF$4,Results!$J$2:$J$47,0),5)))</f>
        <v>17</v>
      </c>
      <c r="AG5" s="42">
        <f aca="true" t="shared" si="10" ref="AG5:AG14">IF($E5=AG$4,0,IF($AL5=INDEX($B$5:$BJ$14,MATCH(AG$4,$E$5:$E$14,0),31),1,0))</f>
        <v>0</v>
      </c>
      <c r="AH5" s="42">
        <f>SUMPRODUCT((Results!$J$2:$J$47=AH$4&amp;$E5)+0,(Results!$L$2:$L$47))+SUMPRODUCT((Results!$J$2:$J$47=$E5&amp;AH$4)+0,(Results!$L$2:$L$47))</f>
        <v>1</v>
      </c>
      <c r="AI5" s="43">
        <f>IF(ISERROR(IF(AI$4=$E5,0,INDEX(Results!$B$2:$N$47,MATCH('Dummy Standings'!$E5&amp;'Dummy Standings'!AI$4,Results!$J$2:$J$47,0),4)-INDEX(Results!$B$2:$N$47,MATCH('Dummy Standings'!$E5&amp;'Dummy Standings'!AI$4,Results!$J$2:$J$47,0),5))),0,IF(AI$4=$E5,0,INDEX(Results!$B$2:$N$47,MATCH('Dummy Standings'!$E5&amp;'Dummy Standings'!AI$4,Results!$J$2:$J$47,0),4)-INDEX(Results!$B$2:$N$47,MATCH('Dummy Standings'!$E5&amp;'Dummy Standings'!AI$4,Results!$J$2:$J$47,0),5)))</f>
        <v>0</v>
      </c>
      <c r="AJ5" s="95">
        <f>($F5*G5)+($I5*J5)+($L5*M5)+($O5*P5)+($R5*S5)+($U5*V5)+($X5*$Y5)+($AA5*$AB5)+($AD5*AE5)+($AG5*AH5)</f>
        <v>1</v>
      </c>
      <c r="AK5" s="46">
        <f>($F5*H5)+($I5*K5)+($L5*N5)+($O5*Q5)+($R5*T5)+($U5*W5)+($X5*$Z5)+($AA5*$AC5)+($AD5*AF5)+($AG5*AI5)</f>
        <v>7</v>
      </c>
      <c r="AL5" s="46">
        <f aca="true" t="shared" si="11" ref="AL5:AL14">RANK($AT5,$AT$5:$AT$14)</f>
        <v>1</v>
      </c>
      <c r="AM5" s="46">
        <f aca="true" t="shared" si="12" ref="AM5:AM14">SUMPRODUCT(($AL5=$AL$5:$AL$14)*($AJ5&gt;$AJ$5:$AJ$14))</f>
        <v>0</v>
      </c>
      <c r="AN5" s="46">
        <f aca="true" t="shared" si="13" ref="AN5:AN14">SUMPRODUCT(($AL5=$AL$5:$AL$14)*($AJ5=$AJ$5:$AJ$14)*($AK5&lt;$AK$5:$AK$14))</f>
        <v>0</v>
      </c>
      <c r="AO5" s="46">
        <f aca="true" t="shared" si="14" ref="AO5:AO14">SUMPRODUCT(($AL$5:$AL$14=$AL5)*($AM$5:$AM$14=$AM5)*($AN$5:$AN$14=$AN5)*($AX$5:$AX$14&gt;$AX5))</f>
        <v>0</v>
      </c>
      <c r="AP5" s="46">
        <f aca="true" t="shared" si="15" ref="AP5:AP14">SUMPRODUCT(($AL$5:$AL$14=$AL5)*($AM$5:$AM$14=$AM5)*($AN$5:$AN$14=$AN5)*($AO$5:$AO$14=$AO5)*($AV$5:$AV$14&gt;$AV5))</f>
        <v>0</v>
      </c>
      <c r="AQ5" s="46">
        <f aca="true" t="shared" si="16" ref="AQ5:AQ14">SUMPRODUCT(($AL$5:$AL$14=$AL5)*($AM$5:$AM$14=$AM5)*($AN$5:$AN$14=$AN5)*($AO$5:$AO$14=$AO5)*($AP$5:$AP$14=$AP5)*($BH$5:$BH$14&gt;$BH5))</f>
        <v>0</v>
      </c>
      <c r="AR5" s="46">
        <f aca="true" t="shared" si="17" ref="AR5:AR14">SUMPRODUCT(($AL$5:$AL$14=$AL5)*($AM$5:$AM$14=$AM5)*($AN$5:$AN$14=$AN5)*($AO$5:$AO$14=$AO5)*($AP$5:$AP$14=$AP5)*($BH$5:$BH$14=$BH5)*($BK5&lt;$BK$5:$BK$14))</f>
        <v>0</v>
      </c>
      <c r="AS5" s="45">
        <f aca="true" t="shared" si="18" ref="AS5:AS14">AY5+BE5</f>
        <v>9</v>
      </c>
      <c r="AT5" s="45">
        <f aca="true" t="shared" si="19" ref="AT5:AT14">AZ5+BF5</f>
        <v>9</v>
      </c>
      <c r="AU5" s="45">
        <f aca="true" t="shared" si="20" ref="AU5:AU14">BA5+BG5</f>
        <v>0</v>
      </c>
      <c r="AV5" s="45">
        <f aca="true" t="shared" si="21" ref="AV5:AV14">BB5+BH5</f>
        <v>208</v>
      </c>
      <c r="AW5" s="45">
        <f aca="true" t="shared" si="22" ref="AW5:AW14">BC5+BI5</f>
        <v>90</v>
      </c>
      <c r="AX5" s="46">
        <f aca="true" t="shared" si="23" ref="AX5:AX14">BD5+BJ5</f>
        <v>118</v>
      </c>
      <c r="AY5" s="45">
        <f>AZ5+BA5</f>
        <v>5</v>
      </c>
      <c r="AZ5" s="45">
        <f>SUMPRODUCT((Results!$C$3:$C$47='Dummy Standings'!$C5)*(Results!$E$3:$E$47&gt;Results!$F$3:$F$47))</f>
        <v>5</v>
      </c>
      <c r="BA5" s="45">
        <f>SUMPRODUCT((Results!$C$3:$C$47='Dummy Standings'!$C5)*(Results!$E$3:$E$47&lt;Results!$F$3:$F$47))</f>
        <v>0</v>
      </c>
      <c r="BB5" s="45">
        <f>SUMIF(Results!$C$3:$C$47,$C5,Results!$E$3:$E$47)</f>
        <v>128</v>
      </c>
      <c r="BC5" s="45">
        <f>SUMIF(Results!$C$3:$C$47,$C5,Results!$F$3:$F$47)</f>
        <v>40</v>
      </c>
      <c r="BD5" s="46">
        <f>BB5-BC5</f>
        <v>88</v>
      </c>
      <c r="BE5" s="45">
        <f>BF5+BG5</f>
        <v>4</v>
      </c>
      <c r="BF5" s="45">
        <f>SUMPRODUCT((Results!$H$3:$H$47='Dummy Standings'!$C5)*(Results!$F$3:$F$47&gt;Results!$E$3:$E$47))</f>
        <v>4</v>
      </c>
      <c r="BG5" s="45">
        <f>SUMPRODUCT((Results!$H$3:$H$47='Dummy Standings'!$C5)*(Results!$F$3:$F$47&lt;Results!$E$3:$E$47))</f>
        <v>0</v>
      </c>
      <c r="BH5" s="45">
        <f>SUMIF(Results!$H$3:$H$47,$C5,Results!$F$3:$F$47)</f>
        <v>80</v>
      </c>
      <c r="BI5" s="45">
        <f>SUMIF(Results!$H$3:$H$47,$C5,Results!$E$3:$E$47)</f>
        <v>50</v>
      </c>
      <c r="BJ5" s="46">
        <f>BH5-BI5</f>
        <v>30</v>
      </c>
      <c r="BK5" s="46">
        <f>INDEX(Teams!$B$5:$F$37,MATCH('Dummy Standings'!$E5,Teams!$E$5:$E$37,0),5)</f>
        <v>1</v>
      </c>
    </row>
    <row r="6" spans="2:63" ht="12.75">
      <c r="B6" s="44">
        <f t="shared" si="0"/>
        <v>3</v>
      </c>
      <c r="C6" s="73" t="str">
        <f>Teams!B7</f>
        <v>Colden University</v>
      </c>
      <c r="D6" s="46" t="str">
        <f>INDEX(Teams!$B$5:$D$37,MATCH('Dummy Standings'!$C6,Teams!$B$5:$B$37,0),COLUMN()-1)</f>
        <v>NSCF</v>
      </c>
      <c r="E6" s="99" t="str">
        <f>INDEX(Teams!$B$5:$F$37,MATCH('Dummy Standings'!$C6,Teams!$B$5:$B$37,0),COLUMN()-1)</f>
        <v>CLD</v>
      </c>
      <c r="F6" s="44">
        <f t="shared" si="1"/>
        <v>0</v>
      </c>
      <c r="G6" s="45">
        <f>SUMPRODUCT((Results!$J$2:$J$47=G$4&amp;$E6)+0,(Results!$L$2:$L$47))+SUMPRODUCT((Results!$J$2:$J$47=$E6&amp;G$4)+0,(Results!$L$2:$L$47))</f>
        <v>0</v>
      </c>
      <c r="H6" s="46">
        <f>IF(ISERROR(IF(H$4=$E6,0,INDEX(Results!$B$2:$N$47,MATCH('Dummy Standings'!$E6&amp;'Dummy Standings'!H$4,Results!$J$2:$J$47,0),4)-INDEX(Results!$B$2:$N$47,MATCH('Dummy Standings'!$E6&amp;'Dummy Standings'!H$4,Results!$J$2:$J$47,0),5))),0,IF(H$4=$E6,0,INDEX(Results!$B$2:$N$47,MATCH('Dummy Standings'!$E6&amp;'Dummy Standings'!H$4,Results!$J$2:$J$47,0),4)-INDEX(Results!$B$2:$N$47,MATCH('Dummy Standings'!$E6&amp;'Dummy Standings'!H$4,Results!$J$2:$J$47,0),5)))</f>
        <v>0</v>
      </c>
      <c r="I6" s="45">
        <f t="shared" si="2"/>
        <v>0</v>
      </c>
      <c r="J6" s="45">
        <f>SUMPRODUCT((Results!$J$2:$J$47=J$4&amp;$E6)+0,(Results!$L$2:$L$47))+SUMPRODUCT((Results!$J$2:$J$47=$E6&amp;J$4)+0,(Results!$L$2:$L$47))</f>
        <v>1</v>
      </c>
      <c r="K6" s="46">
        <f>IF(ISERROR(IF(K$4=$E6,0,INDEX(Results!$B$2:$N$47,MATCH('Dummy Standings'!$E6&amp;'Dummy Standings'!K$4,Results!$J$2:$J$47,0),4)-INDEX(Results!$B$2:$N$47,MATCH('Dummy Standings'!$E6&amp;'Dummy Standings'!K$4,Results!$J$2:$J$47,0),5))),0,IF(K$4=$E6,0,INDEX(Results!$B$2:$N$47,MATCH('Dummy Standings'!$E6&amp;'Dummy Standings'!K$4,Results!$J$2:$J$47,0),4)-INDEX(Results!$B$2:$N$47,MATCH('Dummy Standings'!$E6&amp;'Dummy Standings'!K$4,Results!$J$2:$J$47,0),5)))</f>
        <v>0</v>
      </c>
      <c r="L6" s="45">
        <f t="shared" si="3"/>
        <v>0</v>
      </c>
      <c r="M6" s="45">
        <f>SUMPRODUCT((Results!$J$2:$J$47=M$4&amp;$E6)+0,(Results!$L$2:$L$47))+SUMPRODUCT((Results!$J$2:$J$47=$E6&amp;M$4)+0,(Results!$L$2:$L$47))</f>
        <v>1</v>
      </c>
      <c r="N6" s="46">
        <f>IF(ISERROR(IF(N$4=$E6,0,INDEX(Results!$B$2:$N$47,MATCH('Dummy Standings'!$E6&amp;'Dummy Standings'!N$4,Results!$J$2:$J$47,0),4)-INDEX(Results!$B$2:$N$47,MATCH('Dummy Standings'!$E6&amp;'Dummy Standings'!N$4,Results!$J$2:$J$47,0),5))),0,IF(N$4=$E6,0,INDEX(Results!$B$2:$N$47,MATCH('Dummy Standings'!$E6&amp;'Dummy Standings'!N$4,Results!$J$2:$J$47,0),4)-INDEX(Results!$B$2:$N$47,MATCH('Dummy Standings'!$E6&amp;'Dummy Standings'!N$4,Results!$J$2:$J$47,0),5)))</f>
        <v>-17</v>
      </c>
      <c r="O6" s="45">
        <f t="shared" si="4"/>
        <v>0</v>
      </c>
      <c r="P6" s="45">
        <f>SUMPRODUCT((Results!$J$2:$J$47=P$4&amp;$E6)+0,(Results!$L$2:$L$47))+SUMPRODUCT((Results!$J$2:$J$47=$E6&amp;P$4)+0,(Results!$L$2:$L$47))</f>
        <v>1</v>
      </c>
      <c r="Q6" s="46">
        <f>IF(ISERROR(IF(Q$4=$E6,0,INDEX(Results!$B$2:$N$47,MATCH('Dummy Standings'!$E6&amp;'Dummy Standings'!Q$4,Results!$J$2:$J$47,0),4)-INDEX(Results!$B$2:$N$47,MATCH('Dummy Standings'!$E6&amp;'Dummy Standings'!Q$4,Results!$J$2:$J$47,0),5))),0,IF(Q$4=$E6,0,INDEX(Results!$B$2:$N$47,MATCH('Dummy Standings'!$E6&amp;'Dummy Standings'!Q$4,Results!$J$2:$J$47,0),4)-INDEX(Results!$B$2:$N$47,MATCH('Dummy Standings'!$E6&amp;'Dummy Standings'!Q$4,Results!$J$2:$J$47,0),5)))</f>
        <v>0</v>
      </c>
      <c r="R6" s="45">
        <f t="shared" si="5"/>
        <v>0</v>
      </c>
      <c r="S6" s="45">
        <f>SUMPRODUCT((Results!$J$2:$J$47=S$4&amp;$E6)+0,(Results!$L$2:$L$47))+SUMPRODUCT((Results!$J$2:$J$47=$E6&amp;S$4)+0,(Results!$L$2:$L$47))</f>
        <v>1</v>
      </c>
      <c r="T6" s="46">
        <f>IF(ISERROR(IF(T$4=$E6,0,INDEX(Results!$B$2:$N$47,MATCH('Dummy Standings'!$E6&amp;'Dummy Standings'!T$4,Results!$J$2:$J$47,0),4)-INDEX(Results!$B$2:$N$47,MATCH('Dummy Standings'!$E6&amp;'Dummy Standings'!T$4,Results!$J$2:$J$47,0),5))),0,IF(T$4=$E6,0,INDEX(Results!$B$2:$N$47,MATCH('Dummy Standings'!$E6&amp;'Dummy Standings'!T$4,Results!$J$2:$J$47,0),4)-INDEX(Results!$B$2:$N$47,MATCH('Dummy Standings'!$E6&amp;'Dummy Standings'!T$4,Results!$J$2:$J$47,0),5)))</f>
        <v>30</v>
      </c>
      <c r="U6" s="45">
        <f t="shared" si="6"/>
        <v>0</v>
      </c>
      <c r="V6" s="45">
        <f>SUMPRODUCT((Results!$J$2:$J$47=V$4&amp;$E6)+0,(Results!$L$2:$L$47))+SUMPRODUCT((Results!$J$2:$J$47=$E6&amp;V$4)+0,(Results!$L$2:$L$47))</f>
        <v>1</v>
      </c>
      <c r="W6" s="46">
        <f>IF(ISERROR(IF(W$4=$E6,0,INDEX(Results!$B$2:$N$47,MATCH('Dummy Standings'!$E6&amp;'Dummy Standings'!W$4,Results!$J$2:$J$47,0),4)-INDEX(Results!$B$2:$N$47,MATCH('Dummy Standings'!$E6&amp;'Dummy Standings'!W$4,Results!$J$2:$J$47,0),5))),0,IF(W$4=$E6,0,INDEX(Results!$B$2:$N$47,MATCH('Dummy Standings'!$E6&amp;'Dummy Standings'!W$4,Results!$J$2:$J$47,0),4)-INDEX(Results!$B$2:$N$47,MATCH('Dummy Standings'!$E6&amp;'Dummy Standings'!W$4,Results!$J$2:$J$47,0),5)))</f>
        <v>17</v>
      </c>
      <c r="X6" s="45">
        <f t="shared" si="7"/>
        <v>0</v>
      </c>
      <c r="Y6" s="45">
        <f>SUMPRODUCT((Results!$J$2:$J$47=Y$4&amp;$E6)+0,(Results!$L$2:$L$47))+SUMPRODUCT((Results!$J$2:$J$47=$E6&amp;Y$4)+0,(Results!$L$2:$L$47))</f>
        <v>1</v>
      </c>
      <c r="Z6" s="46">
        <f>IF(ISERROR(IF(Z$4=$E6,0,INDEX(Results!$B$2:$N$47,MATCH('Dummy Standings'!$E6&amp;'Dummy Standings'!Z$4,Results!$J$2:$J$47,0),4)-INDEX(Results!$B$2:$N$47,MATCH('Dummy Standings'!$E6&amp;'Dummy Standings'!Z$4,Results!$J$2:$J$47,0),5))),0,IF(Z$4=$E6,0,INDEX(Results!$B$2:$N$47,MATCH('Dummy Standings'!$E6&amp;'Dummy Standings'!Z$4,Results!$J$2:$J$47,0),4)-INDEX(Results!$B$2:$N$47,MATCH('Dummy Standings'!$E6&amp;'Dummy Standings'!Z$4,Results!$J$2:$J$47,0),5)))</f>
        <v>0</v>
      </c>
      <c r="AA6" s="45">
        <f t="shared" si="8"/>
        <v>0</v>
      </c>
      <c r="AB6" s="45">
        <f>SUMPRODUCT((Results!$J$2:$J$47=AB$4&amp;$E6)+0,(Results!$L$2:$L$47))+SUMPRODUCT((Results!$J$2:$J$47=$E6&amp;AB$4)+0,(Results!$L$2:$L$47))</f>
        <v>1</v>
      </c>
      <c r="AC6" s="46">
        <f>IF(ISERROR(IF(AC$4=$E6,0,INDEX(Results!$B$2:$N$47,MATCH('Dummy Standings'!$E6&amp;'Dummy Standings'!AC$4,Results!$J$2:$J$47,0),4)-INDEX(Results!$B$2:$N$47,MATCH('Dummy Standings'!$E6&amp;'Dummy Standings'!AC$4,Results!$J$2:$J$47,0),5))),0,IF(AC$4=$E6,0,INDEX(Results!$B$2:$N$47,MATCH('Dummy Standings'!$E6&amp;'Dummy Standings'!AC$4,Results!$J$2:$J$47,0),4)-INDEX(Results!$B$2:$N$47,MATCH('Dummy Standings'!$E6&amp;'Dummy Standings'!AC$4,Results!$J$2:$J$47,0),5)))</f>
        <v>0</v>
      </c>
      <c r="AD6" s="45">
        <f t="shared" si="9"/>
        <v>0</v>
      </c>
      <c r="AE6" s="45">
        <f>SUMPRODUCT((Results!$J$2:$J$47=AE$4&amp;$E6)+0,(Results!$L$2:$L$47))+SUMPRODUCT((Results!$J$2:$J$47=$E6&amp;AE$4)+0,(Results!$L$2:$L$47))</f>
        <v>1</v>
      </c>
      <c r="AF6" s="46">
        <f>IF(ISERROR(IF(AF$4=$E6,0,INDEX(Results!$B$2:$N$47,MATCH('Dummy Standings'!$E6&amp;'Dummy Standings'!AF$4,Results!$J$2:$J$47,0),4)-INDEX(Results!$B$2:$N$47,MATCH('Dummy Standings'!$E6&amp;'Dummy Standings'!AF$4,Results!$J$2:$J$47,0),5))),0,IF(AF$4=$E6,0,INDEX(Results!$B$2:$N$47,MATCH('Dummy Standings'!$E6&amp;'Dummy Standings'!AF$4,Results!$J$2:$J$47,0),4)-INDEX(Results!$B$2:$N$47,MATCH('Dummy Standings'!$E6&amp;'Dummy Standings'!AF$4,Results!$J$2:$J$47,0),5)))</f>
        <v>17</v>
      </c>
      <c r="AG6" s="45">
        <f t="shared" si="10"/>
        <v>0</v>
      </c>
      <c r="AH6" s="45">
        <f>SUMPRODUCT((Results!$J$2:$J$47=AH$4&amp;$E6)+0,(Results!$L$2:$L$47))+SUMPRODUCT((Results!$J$2:$J$47=$E6&amp;AH$4)+0,(Results!$L$2:$L$47))</f>
        <v>1</v>
      </c>
      <c r="AI6" s="46">
        <f>IF(ISERROR(IF(AI$4=$E6,0,INDEX(Results!$B$2:$N$47,MATCH('Dummy Standings'!$E6&amp;'Dummy Standings'!AI$4,Results!$J$2:$J$47,0),4)-INDEX(Results!$B$2:$N$47,MATCH('Dummy Standings'!$E6&amp;'Dummy Standings'!AI$4,Results!$J$2:$J$47,0),5))),0,IF(AI$4=$E6,0,INDEX(Results!$B$2:$N$47,MATCH('Dummy Standings'!$E6&amp;'Dummy Standings'!AI$4,Results!$J$2:$J$47,0),4)-INDEX(Results!$B$2:$N$47,MATCH('Dummy Standings'!$E6&amp;'Dummy Standings'!AI$4,Results!$J$2:$J$47,0),5)))</f>
        <v>11</v>
      </c>
      <c r="AJ6" s="95">
        <f aca="true" t="shared" si="24" ref="AJ6:AJ14">($F6*G6)+($I6*J6)+($L6*M6)+($O6*P6)+($R6*S6)+($U6*V6)+($X6*$Y6)+($AA6*$AB6)+($AD6*AE6)+($AG6*AH6)</f>
        <v>0</v>
      </c>
      <c r="AK6" s="46">
        <f aca="true" t="shared" si="25" ref="AK6:AK14">($F6*H6)+($I6*K6)+($L6*N6)+($O6*Q6)+($R6*T6)+($U6*W6)+($X6*$Z6)+($AA6*$AC6)+($AD6*AF6)+($AG6*AI6)</f>
        <v>0</v>
      </c>
      <c r="AL6" s="46">
        <f t="shared" si="11"/>
        <v>3</v>
      </c>
      <c r="AM6" s="46">
        <f t="shared" si="12"/>
        <v>0</v>
      </c>
      <c r="AN6" s="46">
        <f t="shared" si="13"/>
        <v>0</v>
      </c>
      <c r="AO6" s="46">
        <f t="shared" si="14"/>
        <v>0</v>
      </c>
      <c r="AP6" s="46">
        <f t="shared" si="15"/>
        <v>0</v>
      </c>
      <c r="AQ6" s="46">
        <f t="shared" si="16"/>
        <v>0</v>
      </c>
      <c r="AR6" s="46">
        <f t="shared" si="17"/>
        <v>0</v>
      </c>
      <c r="AS6" s="45">
        <f t="shared" si="18"/>
        <v>9</v>
      </c>
      <c r="AT6" s="45">
        <f t="shared" si="19"/>
        <v>6</v>
      </c>
      <c r="AU6" s="45">
        <f t="shared" si="20"/>
        <v>3</v>
      </c>
      <c r="AV6" s="45">
        <f t="shared" si="21"/>
        <v>229</v>
      </c>
      <c r="AW6" s="45">
        <f t="shared" si="22"/>
        <v>140</v>
      </c>
      <c r="AX6" s="46">
        <f t="shared" si="23"/>
        <v>89</v>
      </c>
      <c r="AY6" s="45">
        <f aca="true" t="shared" si="26" ref="AY6:AY14">AZ6+BA6</f>
        <v>5</v>
      </c>
      <c r="AZ6" s="45">
        <f>SUMPRODUCT((Results!$C$3:$C$47='Dummy Standings'!$C6)*(Results!$E$3:$E$47&gt;Results!$F$3:$F$47))</f>
        <v>4</v>
      </c>
      <c r="BA6" s="45">
        <f>SUMPRODUCT((Results!$C$3:$C$47='Dummy Standings'!$C6)*(Results!$E$3:$E$47&lt;Results!$F$3:$F$47))</f>
        <v>1</v>
      </c>
      <c r="BB6" s="45">
        <f>SUMIF(Results!$C$3:$C$47,$C6,Results!$E$3:$E$47)</f>
        <v>142</v>
      </c>
      <c r="BC6" s="45">
        <f>SUMIF(Results!$C$3:$C$47,$C6,Results!$F$3:$F$47)</f>
        <v>84</v>
      </c>
      <c r="BD6" s="46">
        <f aca="true" t="shared" si="27" ref="BD6:BD14">BB6-BC6</f>
        <v>58</v>
      </c>
      <c r="BE6" s="45">
        <f aca="true" t="shared" si="28" ref="BE6:BE14">BF6+BG6</f>
        <v>4</v>
      </c>
      <c r="BF6" s="45">
        <f>SUMPRODUCT((Results!$H$3:$H$47='Dummy Standings'!$C6)*(Results!$F$3:$F$47&gt;Results!$E$3:$E$47))</f>
        <v>2</v>
      </c>
      <c r="BG6" s="45">
        <f>SUMPRODUCT((Results!$H$3:$H$47='Dummy Standings'!$C6)*(Results!$F$3:$F$47&lt;Results!$E$3:$E$47))</f>
        <v>2</v>
      </c>
      <c r="BH6" s="45">
        <f>SUMIF(Results!$H$3:$H$47,$C6,Results!$F$3:$F$47)</f>
        <v>87</v>
      </c>
      <c r="BI6" s="45">
        <f>SUMIF(Results!$H$3:$H$47,$C6,Results!$E$3:$E$47)</f>
        <v>56</v>
      </c>
      <c r="BJ6" s="46">
        <f aca="true" t="shared" si="29" ref="BJ6:BJ14">BH6-BI6</f>
        <v>31</v>
      </c>
      <c r="BK6" s="46">
        <f>INDEX(Teams!$B$5:$F$37,MATCH('Dummy Standings'!$E6,Teams!$E$5:$E$37,0),5)</f>
        <v>2</v>
      </c>
    </row>
    <row r="7" spans="2:63" ht="12.75">
      <c r="B7" s="44">
        <f t="shared" si="0"/>
        <v>5</v>
      </c>
      <c r="C7" s="73" t="str">
        <f>Teams!B8</f>
        <v>Hudson State University</v>
      </c>
      <c r="D7" s="46" t="str">
        <f>INDEX(Teams!$B$5:$D$37,MATCH('Dummy Standings'!$C7,Teams!$B$5:$B$37,0),COLUMN()-1)</f>
        <v>NSCF</v>
      </c>
      <c r="E7" s="99" t="str">
        <f>INDEX(Teams!$B$5:$F$37,MATCH('Dummy Standings'!$C7,Teams!$B$5:$B$37,0),COLUMN()-1)</f>
        <v>HDS</v>
      </c>
      <c r="F7" s="44">
        <f t="shared" si="1"/>
        <v>0</v>
      </c>
      <c r="G7" s="45">
        <f>SUMPRODUCT((Results!$J$2:$J$47=G$4&amp;$E7)+0,(Results!$L$2:$L$47))+SUMPRODUCT((Results!$J$2:$J$47=$E7&amp;G$4)+0,(Results!$L$2:$L$47))</f>
        <v>1</v>
      </c>
      <c r="H7" s="46">
        <f>IF(ISERROR(IF(H$4=$E7,0,INDEX(Results!$B$2:$N$47,MATCH('Dummy Standings'!$E7&amp;'Dummy Standings'!H$4,Results!$J$2:$J$47,0),4)-INDEX(Results!$B$2:$N$47,MATCH('Dummy Standings'!$E7&amp;'Dummy Standings'!H$4,Results!$J$2:$J$47,0),5))),0,IF(H$4=$E7,0,INDEX(Results!$B$2:$N$47,MATCH('Dummy Standings'!$E7&amp;'Dummy Standings'!H$4,Results!$J$2:$J$47,0),4)-INDEX(Results!$B$2:$N$47,MATCH('Dummy Standings'!$E7&amp;'Dummy Standings'!H$4,Results!$J$2:$J$47,0),5)))</f>
        <v>1</v>
      </c>
      <c r="I7" s="45">
        <f t="shared" si="2"/>
        <v>0</v>
      </c>
      <c r="J7" s="45">
        <f>SUMPRODUCT((Results!$J$2:$J$47=J$4&amp;$E7)+0,(Results!$L$2:$L$47))+SUMPRODUCT((Results!$J$2:$J$47=$E7&amp;J$4)+0,(Results!$L$2:$L$47))</f>
        <v>1</v>
      </c>
      <c r="K7" s="46">
        <f>IF(ISERROR(IF(K$4=$E7,0,INDEX(Results!$B$2:$N$47,MATCH('Dummy Standings'!$E7&amp;'Dummy Standings'!K$4,Results!$J$2:$J$47,0),4)-INDEX(Results!$B$2:$N$47,MATCH('Dummy Standings'!$E7&amp;'Dummy Standings'!K$4,Results!$J$2:$J$47,0),5))),0,IF(K$4=$E7,0,INDEX(Results!$B$2:$N$47,MATCH('Dummy Standings'!$E7&amp;'Dummy Standings'!K$4,Results!$J$2:$J$47,0),4)-INDEX(Results!$B$2:$N$47,MATCH('Dummy Standings'!$E7&amp;'Dummy Standings'!K$4,Results!$J$2:$J$47,0),5)))</f>
        <v>0</v>
      </c>
      <c r="L7" s="45">
        <f t="shared" si="3"/>
        <v>0</v>
      </c>
      <c r="M7" s="45">
        <f>SUMPRODUCT((Results!$J$2:$J$47=M$4&amp;$E7)+0,(Results!$L$2:$L$47))+SUMPRODUCT((Results!$J$2:$J$47=$E7&amp;M$4)+0,(Results!$L$2:$L$47))</f>
        <v>1</v>
      </c>
      <c r="N7" s="46">
        <f>IF(ISERROR(IF(N$4=$E7,0,INDEX(Results!$B$2:$N$47,MATCH('Dummy Standings'!$E7&amp;'Dummy Standings'!N$4,Results!$J$2:$J$47,0),4)-INDEX(Results!$B$2:$N$47,MATCH('Dummy Standings'!$E7&amp;'Dummy Standings'!N$4,Results!$J$2:$J$47,0),5))),0,IF(N$4=$E7,0,INDEX(Results!$B$2:$N$47,MATCH('Dummy Standings'!$E7&amp;'Dummy Standings'!N$4,Results!$J$2:$J$47,0),4)-INDEX(Results!$B$2:$N$47,MATCH('Dummy Standings'!$E7&amp;'Dummy Standings'!N$4,Results!$J$2:$J$47,0),5)))</f>
        <v>0</v>
      </c>
      <c r="O7" s="45">
        <f t="shared" si="4"/>
        <v>0</v>
      </c>
      <c r="P7" s="45">
        <f>SUMPRODUCT((Results!$J$2:$J$47=P$4&amp;$E7)+0,(Results!$L$2:$L$47))+SUMPRODUCT((Results!$J$2:$J$47=$E7&amp;P$4)+0,(Results!$L$2:$L$47))</f>
        <v>1</v>
      </c>
      <c r="Q7" s="46">
        <f>IF(ISERROR(IF(Q$4=$E7,0,INDEX(Results!$B$2:$N$47,MATCH('Dummy Standings'!$E7&amp;'Dummy Standings'!Q$4,Results!$J$2:$J$47,0),4)-INDEX(Results!$B$2:$N$47,MATCH('Dummy Standings'!$E7&amp;'Dummy Standings'!Q$4,Results!$J$2:$J$47,0),5))),0,IF(Q$4=$E7,0,INDEX(Results!$B$2:$N$47,MATCH('Dummy Standings'!$E7&amp;'Dummy Standings'!Q$4,Results!$J$2:$J$47,0),4)-INDEX(Results!$B$2:$N$47,MATCH('Dummy Standings'!$E7&amp;'Dummy Standings'!Q$4,Results!$J$2:$J$47,0),5)))</f>
        <v>-3</v>
      </c>
      <c r="R7" s="45">
        <f t="shared" si="5"/>
        <v>0</v>
      </c>
      <c r="S7" s="45">
        <f>SUMPRODUCT((Results!$J$2:$J$47=S$4&amp;$E7)+0,(Results!$L$2:$L$47))+SUMPRODUCT((Results!$J$2:$J$47=$E7&amp;S$4)+0,(Results!$L$2:$L$47))</f>
        <v>1</v>
      </c>
      <c r="T7" s="46">
        <f>IF(ISERROR(IF(T$4=$E7,0,INDEX(Results!$B$2:$N$47,MATCH('Dummy Standings'!$E7&amp;'Dummy Standings'!T$4,Results!$J$2:$J$47,0),4)-INDEX(Results!$B$2:$N$47,MATCH('Dummy Standings'!$E7&amp;'Dummy Standings'!T$4,Results!$J$2:$J$47,0),5))),0,IF(T$4=$E7,0,INDEX(Results!$B$2:$N$47,MATCH('Dummy Standings'!$E7&amp;'Dummy Standings'!T$4,Results!$J$2:$J$47,0),4)-INDEX(Results!$B$2:$N$47,MATCH('Dummy Standings'!$E7&amp;'Dummy Standings'!T$4,Results!$J$2:$J$47,0),5)))</f>
        <v>0</v>
      </c>
      <c r="U7" s="45">
        <f t="shared" si="6"/>
        <v>0</v>
      </c>
      <c r="V7" s="45">
        <f>SUMPRODUCT((Results!$J$2:$J$47=V$4&amp;$E7)+0,(Results!$L$2:$L$47))+SUMPRODUCT((Results!$J$2:$J$47=$E7&amp;V$4)+0,(Results!$L$2:$L$47))</f>
        <v>1</v>
      </c>
      <c r="W7" s="46">
        <f>IF(ISERROR(IF(W$4=$E7,0,INDEX(Results!$B$2:$N$47,MATCH('Dummy Standings'!$E7&amp;'Dummy Standings'!W$4,Results!$J$2:$J$47,0),4)-INDEX(Results!$B$2:$N$47,MATCH('Dummy Standings'!$E7&amp;'Dummy Standings'!W$4,Results!$J$2:$J$47,0),5))),0,IF(W$4=$E7,0,INDEX(Results!$B$2:$N$47,MATCH('Dummy Standings'!$E7&amp;'Dummy Standings'!W$4,Results!$J$2:$J$47,0),4)-INDEX(Results!$B$2:$N$47,MATCH('Dummy Standings'!$E7&amp;'Dummy Standings'!W$4,Results!$J$2:$J$47,0),5)))</f>
        <v>8</v>
      </c>
      <c r="X7" s="45">
        <f t="shared" si="7"/>
        <v>0</v>
      </c>
      <c r="Y7" s="45">
        <f>SUMPRODUCT((Results!$J$2:$J$47=Y$4&amp;$E7)+0,(Results!$L$2:$L$47))+SUMPRODUCT((Results!$J$2:$J$47=$E7&amp;Y$4)+0,(Results!$L$2:$L$47))</f>
        <v>0</v>
      </c>
      <c r="Z7" s="46">
        <f>IF(ISERROR(IF(Z$4=$E7,0,INDEX(Results!$B$2:$N$47,MATCH('Dummy Standings'!$E7&amp;'Dummy Standings'!Z$4,Results!$J$2:$J$47,0),4)-INDEX(Results!$B$2:$N$47,MATCH('Dummy Standings'!$E7&amp;'Dummy Standings'!Z$4,Results!$J$2:$J$47,0),5))),0,IF(Z$4=$E7,0,INDEX(Results!$B$2:$N$47,MATCH('Dummy Standings'!$E7&amp;'Dummy Standings'!Z$4,Results!$J$2:$J$47,0),4)-INDEX(Results!$B$2:$N$47,MATCH('Dummy Standings'!$E7&amp;'Dummy Standings'!Z$4,Results!$J$2:$J$47,0),5)))</f>
        <v>0</v>
      </c>
      <c r="AA7" s="45">
        <f t="shared" si="8"/>
        <v>0</v>
      </c>
      <c r="AB7" s="45">
        <f>SUMPRODUCT((Results!$J$2:$J$47=AB$4&amp;$E7)+0,(Results!$L$2:$L$47))+SUMPRODUCT((Results!$J$2:$J$47=$E7&amp;AB$4)+0,(Results!$L$2:$L$47))</f>
        <v>1</v>
      </c>
      <c r="AC7" s="46">
        <f>IF(ISERROR(IF(AC$4=$E7,0,INDEX(Results!$B$2:$N$47,MATCH('Dummy Standings'!$E7&amp;'Dummy Standings'!AC$4,Results!$J$2:$J$47,0),4)-INDEX(Results!$B$2:$N$47,MATCH('Dummy Standings'!$E7&amp;'Dummy Standings'!AC$4,Results!$J$2:$J$47,0),5))),0,IF(AC$4=$E7,0,INDEX(Results!$B$2:$N$47,MATCH('Dummy Standings'!$E7&amp;'Dummy Standings'!AC$4,Results!$J$2:$J$47,0),4)-INDEX(Results!$B$2:$N$47,MATCH('Dummy Standings'!$E7&amp;'Dummy Standings'!AC$4,Results!$J$2:$J$47,0),5)))</f>
        <v>0</v>
      </c>
      <c r="AD7" s="45">
        <f t="shared" si="9"/>
        <v>0</v>
      </c>
      <c r="AE7" s="45">
        <f>SUMPRODUCT((Results!$J$2:$J$47=AE$4&amp;$E7)+0,(Results!$L$2:$L$47))+SUMPRODUCT((Results!$J$2:$J$47=$E7&amp;AE$4)+0,(Results!$L$2:$L$47))</f>
        <v>1</v>
      </c>
      <c r="AF7" s="46">
        <f>IF(ISERROR(IF(AF$4=$E7,0,INDEX(Results!$B$2:$N$47,MATCH('Dummy Standings'!$E7&amp;'Dummy Standings'!AF$4,Results!$J$2:$J$47,0),4)-INDEX(Results!$B$2:$N$47,MATCH('Dummy Standings'!$E7&amp;'Dummy Standings'!AF$4,Results!$J$2:$J$47,0),5))),0,IF(AF$4=$E7,0,INDEX(Results!$B$2:$N$47,MATCH('Dummy Standings'!$E7&amp;'Dummy Standings'!AF$4,Results!$J$2:$J$47,0),4)-INDEX(Results!$B$2:$N$47,MATCH('Dummy Standings'!$E7&amp;'Dummy Standings'!AF$4,Results!$J$2:$J$47,0),5)))</f>
        <v>0</v>
      </c>
      <c r="AG7" s="45">
        <f t="shared" si="10"/>
        <v>0</v>
      </c>
      <c r="AH7" s="45">
        <f>SUMPRODUCT((Results!$J$2:$J$47=AH$4&amp;$E7)+0,(Results!$L$2:$L$47))+SUMPRODUCT((Results!$J$2:$J$47=$E7&amp;AH$4)+0,(Results!$L$2:$L$47))</f>
        <v>1</v>
      </c>
      <c r="AI7" s="46">
        <f>IF(ISERROR(IF(AI$4=$E7,0,INDEX(Results!$B$2:$N$47,MATCH('Dummy Standings'!$E7&amp;'Dummy Standings'!AI$4,Results!$J$2:$J$47,0),4)-INDEX(Results!$B$2:$N$47,MATCH('Dummy Standings'!$E7&amp;'Dummy Standings'!AI$4,Results!$J$2:$J$47,0),5))),0,IF(AI$4=$E7,0,INDEX(Results!$B$2:$N$47,MATCH('Dummy Standings'!$E7&amp;'Dummy Standings'!AI$4,Results!$J$2:$J$47,0),4)-INDEX(Results!$B$2:$N$47,MATCH('Dummy Standings'!$E7&amp;'Dummy Standings'!AI$4,Results!$J$2:$J$47,0),5)))</f>
        <v>-1</v>
      </c>
      <c r="AJ7" s="95">
        <f t="shared" si="24"/>
        <v>0</v>
      </c>
      <c r="AK7" s="46">
        <f t="shared" si="25"/>
        <v>0</v>
      </c>
      <c r="AL7" s="46">
        <f t="shared" si="11"/>
        <v>5</v>
      </c>
      <c r="AM7" s="46">
        <f t="shared" si="12"/>
        <v>0</v>
      </c>
      <c r="AN7" s="46">
        <f t="shared" si="13"/>
        <v>0</v>
      </c>
      <c r="AO7" s="46">
        <f t="shared" si="14"/>
        <v>0</v>
      </c>
      <c r="AP7" s="46">
        <f t="shared" si="15"/>
        <v>0</v>
      </c>
      <c r="AQ7" s="46">
        <f t="shared" si="16"/>
        <v>0</v>
      </c>
      <c r="AR7" s="46">
        <f t="shared" si="17"/>
        <v>0</v>
      </c>
      <c r="AS7" s="45">
        <f t="shared" si="18"/>
        <v>9</v>
      </c>
      <c r="AT7" s="45">
        <f t="shared" si="19"/>
        <v>5</v>
      </c>
      <c r="AU7" s="45">
        <f t="shared" si="20"/>
        <v>4</v>
      </c>
      <c r="AV7" s="45">
        <f t="shared" si="21"/>
        <v>210</v>
      </c>
      <c r="AW7" s="45">
        <f t="shared" si="22"/>
        <v>185</v>
      </c>
      <c r="AX7" s="46">
        <f t="shared" si="23"/>
        <v>25</v>
      </c>
      <c r="AY7" s="45">
        <f t="shared" si="26"/>
        <v>4</v>
      </c>
      <c r="AZ7" s="45">
        <f>SUMPRODUCT((Results!$C$3:$C$47='Dummy Standings'!$C7)*(Results!$E$3:$E$47&gt;Results!$F$3:$F$47))</f>
        <v>2</v>
      </c>
      <c r="BA7" s="45">
        <f>SUMPRODUCT((Results!$C$3:$C$47='Dummy Standings'!$C7)*(Results!$E$3:$E$47&lt;Results!$F$3:$F$47))</f>
        <v>2</v>
      </c>
      <c r="BB7" s="45">
        <f>SUMIF(Results!$C$3:$C$47,$C7,Results!$E$3:$E$47)</f>
        <v>84</v>
      </c>
      <c r="BC7" s="45">
        <f>SUMIF(Results!$C$3:$C$47,$C7,Results!$F$3:$F$47)</f>
        <v>79</v>
      </c>
      <c r="BD7" s="46">
        <f t="shared" si="27"/>
        <v>5</v>
      </c>
      <c r="BE7" s="45">
        <f t="shared" si="28"/>
        <v>5</v>
      </c>
      <c r="BF7" s="45">
        <f>SUMPRODUCT((Results!$H$3:$H$47='Dummy Standings'!$C7)*(Results!$F$3:$F$47&gt;Results!$E$3:$E$47))</f>
        <v>3</v>
      </c>
      <c r="BG7" s="45">
        <f>SUMPRODUCT((Results!$H$3:$H$47='Dummy Standings'!$C7)*(Results!$F$3:$F$47&lt;Results!$E$3:$E$47))</f>
        <v>2</v>
      </c>
      <c r="BH7" s="45">
        <f>SUMIF(Results!$H$3:$H$47,$C7,Results!$F$3:$F$47)</f>
        <v>126</v>
      </c>
      <c r="BI7" s="45">
        <f>SUMIF(Results!$H$3:$H$47,$C7,Results!$E$3:$E$47)</f>
        <v>106</v>
      </c>
      <c r="BJ7" s="46">
        <f t="shared" si="29"/>
        <v>20</v>
      </c>
      <c r="BK7" s="46">
        <f>INDEX(Teams!$B$5:$F$37,MATCH('Dummy Standings'!$E7,Teams!$E$5:$E$37,0),5)</f>
        <v>3</v>
      </c>
    </row>
    <row r="8" spans="2:63" ht="12.75">
      <c r="B8" s="44">
        <f t="shared" si="0"/>
        <v>6</v>
      </c>
      <c r="C8" s="73" t="str">
        <f>Teams!B9</f>
        <v>Luther University</v>
      </c>
      <c r="D8" s="46" t="str">
        <f>INDEX(Teams!$B$5:$D$37,MATCH('Dummy Standings'!$C8,Teams!$B$5:$B$37,0),COLUMN()-1)</f>
        <v>NSCF</v>
      </c>
      <c r="E8" s="99" t="str">
        <f>INDEX(Teams!$B$5:$F$37,MATCH('Dummy Standings'!$C8,Teams!$B$5:$B$37,0),COLUMN()-1)</f>
        <v>LUT</v>
      </c>
      <c r="F8" s="44">
        <f t="shared" si="1"/>
        <v>0</v>
      </c>
      <c r="G8" s="45">
        <f>SUMPRODUCT((Results!$J$2:$J$47=G$4&amp;$E8)+0,(Results!$L$2:$L$47))+SUMPRODUCT((Results!$J$2:$J$47=$E8&amp;G$4)+0,(Results!$L$2:$L$47))</f>
        <v>1</v>
      </c>
      <c r="H8" s="46">
        <f>IF(ISERROR(IF(H$4=$E8,0,INDEX(Results!$B$2:$N$47,MATCH('Dummy Standings'!$E8&amp;'Dummy Standings'!H$4,Results!$J$2:$J$47,0),4)-INDEX(Results!$B$2:$N$47,MATCH('Dummy Standings'!$E8&amp;'Dummy Standings'!H$4,Results!$J$2:$J$47,0),5))),0,IF(H$4=$E8,0,INDEX(Results!$B$2:$N$47,MATCH('Dummy Standings'!$E8&amp;'Dummy Standings'!H$4,Results!$J$2:$J$47,0),4)-INDEX(Results!$B$2:$N$47,MATCH('Dummy Standings'!$E8&amp;'Dummy Standings'!H$4,Results!$J$2:$J$47,0),5)))</f>
        <v>0</v>
      </c>
      <c r="I8" s="45">
        <f t="shared" si="2"/>
        <v>0</v>
      </c>
      <c r="J8" s="45">
        <f>SUMPRODUCT((Results!$J$2:$J$47=J$4&amp;$E8)+0,(Results!$L$2:$L$47))+SUMPRODUCT((Results!$J$2:$J$47=$E8&amp;J$4)+0,(Results!$L$2:$L$47))</f>
        <v>1</v>
      </c>
      <c r="K8" s="46">
        <f>IF(ISERROR(IF(K$4=$E8,0,INDEX(Results!$B$2:$N$47,MATCH('Dummy Standings'!$E8&amp;'Dummy Standings'!K$4,Results!$J$2:$J$47,0),4)-INDEX(Results!$B$2:$N$47,MATCH('Dummy Standings'!$E8&amp;'Dummy Standings'!K$4,Results!$J$2:$J$47,0),5))),0,IF(K$4=$E8,0,INDEX(Results!$B$2:$N$47,MATCH('Dummy Standings'!$E8&amp;'Dummy Standings'!K$4,Results!$J$2:$J$47,0),4)-INDEX(Results!$B$2:$N$47,MATCH('Dummy Standings'!$E8&amp;'Dummy Standings'!K$4,Results!$J$2:$J$47,0),5)))</f>
        <v>0</v>
      </c>
      <c r="L8" s="45">
        <f t="shared" si="3"/>
        <v>0</v>
      </c>
      <c r="M8" s="45">
        <f>SUMPRODUCT((Results!$J$2:$J$47=M$4&amp;$E8)+0,(Results!$L$2:$L$47))+SUMPRODUCT((Results!$J$2:$J$47=$E8&amp;M$4)+0,(Results!$L$2:$L$47))</f>
        <v>1</v>
      </c>
      <c r="N8" s="46">
        <f>IF(ISERROR(IF(N$4=$E8,0,INDEX(Results!$B$2:$N$47,MATCH('Dummy Standings'!$E8&amp;'Dummy Standings'!N$4,Results!$J$2:$J$47,0),4)-INDEX(Results!$B$2:$N$47,MATCH('Dummy Standings'!$E8&amp;'Dummy Standings'!N$4,Results!$J$2:$J$47,0),5))),0,IF(N$4=$E8,0,INDEX(Results!$B$2:$N$47,MATCH('Dummy Standings'!$E8&amp;'Dummy Standings'!N$4,Results!$J$2:$J$47,0),4)-INDEX(Results!$B$2:$N$47,MATCH('Dummy Standings'!$E8&amp;'Dummy Standings'!N$4,Results!$J$2:$J$47,0),5)))</f>
        <v>-7</v>
      </c>
      <c r="O8" s="45">
        <f t="shared" si="4"/>
        <v>0</v>
      </c>
      <c r="P8" s="45">
        <f>SUMPRODUCT((Results!$J$2:$J$47=P$4&amp;$E8)+0,(Results!$L$2:$L$47))+SUMPRODUCT((Results!$J$2:$J$47=$E8&amp;P$4)+0,(Results!$L$2:$L$47))</f>
        <v>1</v>
      </c>
      <c r="Q8" s="46">
        <f>IF(ISERROR(IF(Q$4=$E8,0,INDEX(Results!$B$2:$N$47,MATCH('Dummy Standings'!$E8&amp;'Dummy Standings'!Q$4,Results!$J$2:$J$47,0),4)-INDEX(Results!$B$2:$N$47,MATCH('Dummy Standings'!$E8&amp;'Dummy Standings'!Q$4,Results!$J$2:$J$47,0),5))),0,IF(Q$4=$E8,0,INDEX(Results!$B$2:$N$47,MATCH('Dummy Standings'!$E8&amp;'Dummy Standings'!Q$4,Results!$J$2:$J$47,0),4)-INDEX(Results!$B$2:$N$47,MATCH('Dummy Standings'!$E8&amp;'Dummy Standings'!Q$4,Results!$J$2:$J$47,0),5)))</f>
        <v>-14</v>
      </c>
      <c r="R8" s="45">
        <f t="shared" si="5"/>
        <v>0</v>
      </c>
      <c r="S8" s="45">
        <f>SUMPRODUCT((Results!$J$2:$J$47=S$4&amp;$E8)+0,(Results!$L$2:$L$47))+SUMPRODUCT((Results!$J$2:$J$47=$E8&amp;S$4)+0,(Results!$L$2:$L$47))</f>
        <v>1</v>
      </c>
      <c r="T8" s="46">
        <f>IF(ISERROR(IF(T$4=$E8,0,INDEX(Results!$B$2:$N$47,MATCH('Dummy Standings'!$E8&amp;'Dummy Standings'!T$4,Results!$J$2:$J$47,0),4)-INDEX(Results!$B$2:$N$47,MATCH('Dummy Standings'!$E8&amp;'Dummy Standings'!T$4,Results!$J$2:$J$47,0),5))),0,IF(T$4=$E8,0,INDEX(Results!$B$2:$N$47,MATCH('Dummy Standings'!$E8&amp;'Dummy Standings'!T$4,Results!$J$2:$J$47,0),4)-INDEX(Results!$B$2:$N$47,MATCH('Dummy Standings'!$E8&amp;'Dummy Standings'!T$4,Results!$J$2:$J$47,0),5)))</f>
        <v>0</v>
      </c>
      <c r="U8" s="45">
        <f t="shared" si="6"/>
        <v>0</v>
      </c>
      <c r="V8" s="45">
        <f>SUMPRODUCT((Results!$J$2:$J$47=V$4&amp;$E8)+0,(Results!$L$2:$L$47))+SUMPRODUCT((Results!$J$2:$J$47=$E8&amp;V$4)+0,(Results!$L$2:$L$47))</f>
        <v>1</v>
      </c>
      <c r="W8" s="46">
        <f>IF(ISERROR(IF(W$4=$E8,0,INDEX(Results!$B$2:$N$47,MATCH('Dummy Standings'!$E8&amp;'Dummy Standings'!W$4,Results!$J$2:$J$47,0),4)-INDEX(Results!$B$2:$N$47,MATCH('Dummy Standings'!$E8&amp;'Dummy Standings'!W$4,Results!$J$2:$J$47,0),5))),0,IF(W$4=$E8,0,INDEX(Results!$B$2:$N$47,MATCH('Dummy Standings'!$E8&amp;'Dummy Standings'!W$4,Results!$J$2:$J$47,0),4)-INDEX(Results!$B$2:$N$47,MATCH('Dummy Standings'!$E8&amp;'Dummy Standings'!W$4,Results!$J$2:$J$47,0),5)))</f>
        <v>0</v>
      </c>
      <c r="X8" s="45">
        <f t="shared" si="7"/>
        <v>0</v>
      </c>
      <c r="Y8" s="45">
        <f>SUMPRODUCT((Results!$J$2:$J$47=Y$4&amp;$E8)+0,(Results!$L$2:$L$47))+SUMPRODUCT((Results!$J$2:$J$47=$E8&amp;Y$4)+0,(Results!$L$2:$L$47))</f>
        <v>1</v>
      </c>
      <c r="Z8" s="46">
        <f>IF(ISERROR(IF(Z$4=$E8,0,INDEX(Results!$B$2:$N$47,MATCH('Dummy Standings'!$E8&amp;'Dummy Standings'!Z$4,Results!$J$2:$J$47,0),4)-INDEX(Results!$B$2:$N$47,MATCH('Dummy Standings'!$E8&amp;'Dummy Standings'!Z$4,Results!$J$2:$J$47,0),5))),0,IF(Z$4=$E8,0,INDEX(Results!$B$2:$N$47,MATCH('Dummy Standings'!$E8&amp;'Dummy Standings'!Z$4,Results!$J$2:$J$47,0),4)-INDEX(Results!$B$2:$N$47,MATCH('Dummy Standings'!$E8&amp;'Dummy Standings'!Z$4,Results!$J$2:$J$47,0),5)))</f>
        <v>0</v>
      </c>
      <c r="AA8" s="45">
        <f t="shared" si="8"/>
        <v>0</v>
      </c>
      <c r="AB8" s="45">
        <f>SUMPRODUCT((Results!$J$2:$J$47=AB$4&amp;$E8)+0,(Results!$L$2:$L$47))+SUMPRODUCT((Results!$J$2:$J$47=$E8&amp;AB$4)+0,(Results!$L$2:$L$47))</f>
        <v>1</v>
      </c>
      <c r="AC8" s="46">
        <f>IF(ISERROR(IF(AC$4=$E8,0,INDEX(Results!$B$2:$N$47,MATCH('Dummy Standings'!$E8&amp;'Dummy Standings'!AC$4,Results!$J$2:$J$47,0),4)-INDEX(Results!$B$2:$N$47,MATCH('Dummy Standings'!$E8&amp;'Dummy Standings'!AC$4,Results!$J$2:$J$47,0),5))),0,IF(AC$4=$E8,0,INDEX(Results!$B$2:$N$47,MATCH('Dummy Standings'!$E8&amp;'Dummy Standings'!AC$4,Results!$J$2:$J$47,0),4)-INDEX(Results!$B$2:$N$47,MATCH('Dummy Standings'!$E8&amp;'Dummy Standings'!AC$4,Results!$J$2:$J$47,0),5)))</f>
        <v>7</v>
      </c>
      <c r="AD8" s="45">
        <f t="shared" si="9"/>
        <v>0</v>
      </c>
      <c r="AE8" s="45">
        <f>SUMPRODUCT((Results!$J$2:$J$47=AE$4&amp;$E8)+0,(Results!$L$2:$L$47))+SUMPRODUCT((Results!$J$2:$J$47=$E8&amp;AE$4)+0,(Results!$L$2:$L$47))</f>
        <v>1</v>
      </c>
      <c r="AF8" s="46">
        <f>IF(ISERROR(IF(AF$4=$E8,0,INDEX(Results!$B$2:$N$47,MATCH('Dummy Standings'!$E8&amp;'Dummy Standings'!AF$4,Results!$J$2:$J$47,0),4)-INDEX(Results!$B$2:$N$47,MATCH('Dummy Standings'!$E8&amp;'Dummy Standings'!AF$4,Results!$J$2:$J$47,0),5))),0,IF(AF$4=$E8,0,INDEX(Results!$B$2:$N$47,MATCH('Dummy Standings'!$E8&amp;'Dummy Standings'!AF$4,Results!$J$2:$J$47,0),4)-INDEX(Results!$B$2:$N$47,MATCH('Dummy Standings'!$E8&amp;'Dummy Standings'!AF$4,Results!$J$2:$J$47,0),5)))</f>
        <v>14</v>
      </c>
      <c r="AG8" s="45">
        <f t="shared" si="10"/>
        <v>0</v>
      </c>
      <c r="AH8" s="45">
        <f>SUMPRODUCT((Results!$J$2:$J$47=AH$4&amp;$E8)+0,(Results!$L$2:$L$47))+SUMPRODUCT((Results!$J$2:$J$47=$E8&amp;AH$4)+0,(Results!$L$2:$L$47))</f>
        <v>0</v>
      </c>
      <c r="AI8" s="46">
        <f>IF(ISERROR(IF(AI$4=$E8,0,INDEX(Results!$B$2:$N$47,MATCH('Dummy Standings'!$E8&amp;'Dummy Standings'!AI$4,Results!$J$2:$J$47,0),4)-INDEX(Results!$B$2:$N$47,MATCH('Dummy Standings'!$E8&amp;'Dummy Standings'!AI$4,Results!$J$2:$J$47,0),5))),0,IF(AI$4=$E8,0,INDEX(Results!$B$2:$N$47,MATCH('Dummy Standings'!$E8&amp;'Dummy Standings'!AI$4,Results!$J$2:$J$47,0),4)-INDEX(Results!$B$2:$N$47,MATCH('Dummy Standings'!$E8&amp;'Dummy Standings'!AI$4,Results!$J$2:$J$47,0),5)))</f>
        <v>0</v>
      </c>
      <c r="AJ8" s="95">
        <f t="shared" si="24"/>
        <v>0</v>
      </c>
      <c r="AK8" s="46">
        <f t="shared" si="25"/>
        <v>0</v>
      </c>
      <c r="AL8" s="46">
        <f t="shared" si="11"/>
        <v>6</v>
      </c>
      <c r="AM8" s="46">
        <f t="shared" si="12"/>
        <v>0</v>
      </c>
      <c r="AN8" s="46">
        <f t="shared" si="13"/>
        <v>0</v>
      </c>
      <c r="AO8" s="46">
        <f t="shared" si="14"/>
        <v>0</v>
      </c>
      <c r="AP8" s="46">
        <f t="shared" si="15"/>
        <v>0</v>
      </c>
      <c r="AQ8" s="46">
        <f t="shared" si="16"/>
        <v>0</v>
      </c>
      <c r="AR8" s="46">
        <f t="shared" si="17"/>
        <v>0</v>
      </c>
      <c r="AS8" s="45">
        <f t="shared" si="18"/>
        <v>9</v>
      </c>
      <c r="AT8" s="45">
        <f t="shared" si="19"/>
        <v>4</v>
      </c>
      <c r="AU8" s="45">
        <f t="shared" si="20"/>
        <v>5</v>
      </c>
      <c r="AV8" s="45">
        <f t="shared" si="21"/>
        <v>182</v>
      </c>
      <c r="AW8" s="45">
        <f t="shared" si="22"/>
        <v>186</v>
      </c>
      <c r="AX8" s="46">
        <f t="shared" si="23"/>
        <v>-4</v>
      </c>
      <c r="AY8" s="45">
        <f t="shared" si="26"/>
        <v>4</v>
      </c>
      <c r="AZ8" s="45">
        <f>SUMPRODUCT((Results!$C$3:$C$47='Dummy Standings'!$C8)*(Results!$E$3:$E$47&gt;Results!$F$3:$F$47))</f>
        <v>2</v>
      </c>
      <c r="BA8" s="45">
        <f>SUMPRODUCT((Results!$C$3:$C$47='Dummy Standings'!$C8)*(Results!$E$3:$E$47&lt;Results!$F$3:$F$47))</f>
        <v>2</v>
      </c>
      <c r="BB8" s="45">
        <f>SUMIF(Results!$C$3:$C$47,$C8,Results!$E$3:$E$47)</f>
        <v>64</v>
      </c>
      <c r="BC8" s="45">
        <f>SUMIF(Results!$C$3:$C$47,$C8,Results!$F$3:$F$47)</f>
        <v>64</v>
      </c>
      <c r="BD8" s="46">
        <f t="shared" si="27"/>
        <v>0</v>
      </c>
      <c r="BE8" s="45">
        <f t="shared" si="28"/>
        <v>5</v>
      </c>
      <c r="BF8" s="45">
        <f>SUMPRODUCT((Results!$H$3:$H$47='Dummy Standings'!$C8)*(Results!$F$3:$F$47&gt;Results!$E$3:$E$47))</f>
        <v>2</v>
      </c>
      <c r="BG8" s="45">
        <f>SUMPRODUCT((Results!$H$3:$H$47='Dummy Standings'!$C8)*(Results!$F$3:$F$47&lt;Results!$E$3:$E$47))</f>
        <v>3</v>
      </c>
      <c r="BH8" s="45">
        <f>SUMIF(Results!$H$3:$H$47,$C8,Results!$F$3:$F$47)</f>
        <v>118</v>
      </c>
      <c r="BI8" s="45">
        <f>SUMIF(Results!$H$3:$H$47,$C8,Results!$E$3:$E$47)</f>
        <v>122</v>
      </c>
      <c r="BJ8" s="46">
        <f t="shared" si="29"/>
        <v>-4</v>
      </c>
      <c r="BK8" s="46">
        <f>INDEX(Teams!$B$5:$F$37,MATCH('Dummy Standings'!$E8,Teams!$E$5:$E$37,0),5)</f>
        <v>4</v>
      </c>
    </row>
    <row r="9" spans="2:63" ht="12.75">
      <c r="B9" s="44">
        <f t="shared" si="0"/>
        <v>9</v>
      </c>
      <c r="C9" s="73" t="str">
        <f>Teams!B10</f>
        <v>Middle Point Academy</v>
      </c>
      <c r="D9" s="46" t="str">
        <f>INDEX(Teams!$B$5:$D$37,MATCH('Dummy Standings'!$C9,Teams!$B$5:$B$37,0),COLUMN()-1)</f>
        <v>NSCF</v>
      </c>
      <c r="E9" s="99" t="str">
        <f>INDEX(Teams!$B$5:$F$37,MATCH('Dummy Standings'!$C9,Teams!$B$5:$B$37,0),COLUMN()-1)</f>
        <v>MPT</v>
      </c>
      <c r="F9" s="44">
        <f t="shared" si="1"/>
        <v>0</v>
      </c>
      <c r="G9" s="45">
        <f>SUMPRODUCT((Results!$J$2:$J$47=G$4&amp;$E9)+0,(Results!$L$2:$L$47))+SUMPRODUCT((Results!$J$2:$J$47=$E9&amp;G$4)+0,(Results!$L$2:$L$47))</f>
        <v>1</v>
      </c>
      <c r="H9" s="46">
        <f>IF(ISERROR(IF(H$4=$E9,0,INDEX(Results!$B$2:$N$47,MATCH('Dummy Standings'!$E9&amp;'Dummy Standings'!H$4,Results!$J$2:$J$47,0),4)-INDEX(Results!$B$2:$N$47,MATCH('Dummy Standings'!$E9&amp;'Dummy Standings'!H$4,Results!$J$2:$J$47,0),5))),0,IF(H$4=$E9,0,INDEX(Results!$B$2:$N$47,MATCH('Dummy Standings'!$E9&amp;'Dummy Standings'!H$4,Results!$J$2:$J$47,0),4)-INDEX(Results!$B$2:$N$47,MATCH('Dummy Standings'!$E9&amp;'Dummy Standings'!H$4,Results!$J$2:$J$47,0),5)))</f>
        <v>-27</v>
      </c>
      <c r="I9" s="45">
        <f t="shared" si="2"/>
        <v>0</v>
      </c>
      <c r="J9" s="45">
        <f>SUMPRODUCT((Results!$J$2:$J$47=J$4&amp;$E9)+0,(Results!$L$2:$L$47))+SUMPRODUCT((Results!$J$2:$J$47=$E9&amp;J$4)+0,(Results!$L$2:$L$47))</f>
        <v>1</v>
      </c>
      <c r="K9" s="46">
        <f>IF(ISERROR(IF(K$4=$E9,0,INDEX(Results!$B$2:$N$47,MATCH('Dummy Standings'!$E9&amp;'Dummy Standings'!K$4,Results!$J$2:$J$47,0),4)-INDEX(Results!$B$2:$N$47,MATCH('Dummy Standings'!$E9&amp;'Dummy Standings'!K$4,Results!$J$2:$J$47,0),5))),0,IF(K$4=$E9,0,INDEX(Results!$B$2:$N$47,MATCH('Dummy Standings'!$E9&amp;'Dummy Standings'!K$4,Results!$J$2:$J$47,0),4)-INDEX(Results!$B$2:$N$47,MATCH('Dummy Standings'!$E9&amp;'Dummy Standings'!K$4,Results!$J$2:$J$47,0),5)))</f>
        <v>-17</v>
      </c>
      <c r="L9" s="45">
        <f t="shared" si="3"/>
        <v>0</v>
      </c>
      <c r="M9" s="45">
        <f>SUMPRODUCT((Results!$J$2:$J$47=M$4&amp;$E9)+0,(Results!$L$2:$L$47))+SUMPRODUCT((Results!$J$2:$J$47=$E9&amp;M$4)+0,(Results!$L$2:$L$47))</f>
        <v>1</v>
      </c>
      <c r="N9" s="46">
        <f>IF(ISERROR(IF(N$4=$E9,0,INDEX(Results!$B$2:$N$47,MATCH('Dummy Standings'!$E9&amp;'Dummy Standings'!N$4,Results!$J$2:$J$47,0),4)-INDEX(Results!$B$2:$N$47,MATCH('Dummy Standings'!$E9&amp;'Dummy Standings'!N$4,Results!$J$2:$J$47,0),5))),0,IF(N$4=$E9,0,INDEX(Results!$B$2:$N$47,MATCH('Dummy Standings'!$E9&amp;'Dummy Standings'!N$4,Results!$J$2:$J$47,0),4)-INDEX(Results!$B$2:$N$47,MATCH('Dummy Standings'!$E9&amp;'Dummy Standings'!N$4,Results!$J$2:$J$47,0),5)))</f>
        <v>0</v>
      </c>
      <c r="O9" s="45">
        <f t="shared" si="4"/>
        <v>1</v>
      </c>
      <c r="P9" s="45">
        <f>SUMPRODUCT((Results!$J$2:$J$47=P$4&amp;$E9)+0,(Results!$L$2:$L$47))+SUMPRODUCT((Results!$J$2:$J$47=$E9&amp;P$4)+0,(Results!$L$2:$L$47))</f>
        <v>1</v>
      </c>
      <c r="Q9" s="46">
        <f>IF(ISERROR(IF(Q$4=$E9,0,INDEX(Results!$B$2:$N$47,MATCH('Dummy Standings'!$E9&amp;'Dummy Standings'!Q$4,Results!$J$2:$J$47,0),4)-INDEX(Results!$B$2:$N$47,MATCH('Dummy Standings'!$E9&amp;'Dummy Standings'!Q$4,Results!$J$2:$J$47,0),5))),0,IF(Q$4=$E9,0,INDEX(Results!$B$2:$N$47,MATCH('Dummy Standings'!$E9&amp;'Dummy Standings'!Q$4,Results!$J$2:$J$47,0),4)-INDEX(Results!$B$2:$N$47,MATCH('Dummy Standings'!$E9&amp;'Dummy Standings'!Q$4,Results!$J$2:$J$47,0),5)))</f>
        <v>-31</v>
      </c>
      <c r="R9" s="45">
        <f t="shared" si="5"/>
        <v>0</v>
      </c>
      <c r="S9" s="45">
        <f>SUMPRODUCT((Results!$J$2:$J$47=S$4&amp;$E9)+0,(Results!$L$2:$L$47))+SUMPRODUCT((Results!$J$2:$J$47=$E9&amp;S$4)+0,(Results!$L$2:$L$47))</f>
        <v>1</v>
      </c>
      <c r="T9" s="46">
        <f>IF(ISERROR(IF(T$4=$E9,0,INDEX(Results!$B$2:$N$47,MATCH('Dummy Standings'!$E9&amp;'Dummy Standings'!T$4,Results!$J$2:$J$47,0),4)-INDEX(Results!$B$2:$N$47,MATCH('Dummy Standings'!$E9&amp;'Dummy Standings'!T$4,Results!$J$2:$J$47,0),5))),0,IF(T$4=$E9,0,INDEX(Results!$B$2:$N$47,MATCH('Dummy Standings'!$E9&amp;'Dummy Standings'!T$4,Results!$J$2:$J$47,0),4)-INDEX(Results!$B$2:$N$47,MATCH('Dummy Standings'!$E9&amp;'Dummy Standings'!T$4,Results!$J$2:$J$47,0),5)))</f>
        <v>7</v>
      </c>
      <c r="U9" s="45">
        <f t="shared" si="6"/>
        <v>0</v>
      </c>
      <c r="V9" s="45">
        <f>SUMPRODUCT((Results!$J$2:$J$47=V$4&amp;$E9)+0,(Results!$L$2:$L$47))+SUMPRODUCT((Results!$J$2:$J$47=$E9&amp;V$4)+0,(Results!$L$2:$L$47))</f>
        <v>1</v>
      </c>
      <c r="W9" s="46">
        <f>IF(ISERROR(IF(W$4=$E9,0,INDEX(Results!$B$2:$N$47,MATCH('Dummy Standings'!$E9&amp;'Dummy Standings'!W$4,Results!$J$2:$J$47,0),4)-INDEX(Results!$B$2:$N$47,MATCH('Dummy Standings'!$E9&amp;'Dummy Standings'!W$4,Results!$J$2:$J$47,0),5))),0,IF(W$4=$E9,0,INDEX(Results!$B$2:$N$47,MATCH('Dummy Standings'!$E9&amp;'Dummy Standings'!W$4,Results!$J$2:$J$47,0),4)-INDEX(Results!$B$2:$N$47,MATCH('Dummy Standings'!$E9&amp;'Dummy Standings'!W$4,Results!$J$2:$J$47,0),5)))</f>
        <v>0</v>
      </c>
      <c r="X9" s="45">
        <f t="shared" si="7"/>
        <v>0</v>
      </c>
      <c r="Y9" s="45">
        <f>SUMPRODUCT((Results!$J$2:$J$47=Y$4&amp;$E9)+0,(Results!$L$2:$L$47))+SUMPRODUCT((Results!$J$2:$J$47=$E9&amp;Y$4)+0,(Results!$L$2:$L$47))</f>
        <v>1</v>
      </c>
      <c r="Z9" s="46">
        <f>IF(ISERROR(IF(Z$4=$E9,0,INDEX(Results!$B$2:$N$47,MATCH('Dummy Standings'!$E9&amp;'Dummy Standings'!Z$4,Results!$J$2:$J$47,0),4)-INDEX(Results!$B$2:$N$47,MATCH('Dummy Standings'!$E9&amp;'Dummy Standings'!Z$4,Results!$J$2:$J$47,0),5))),0,IF(Z$4=$E9,0,INDEX(Results!$B$2:$N$47,MATCH('Dummy Standings'!$E9&amp;'Dummy Standings'!Z$4,Results!$J$2:$J$47,0),4)-INDEX(Results!$B$2:$N$47,MATCH('Dummy Standings'!$E9&amp;'Dummy Standings'!Z$4,Results!$J$2:$J$47,0),5)))</f>
        <v>-30</v>
      </c>
      <c r="AA9" s="45">
        <f t="shared" si="8"/>
        <v>0</v>
      </c>
      <c r="AB9" s="45">
        <f>SUMPRODUCT((Results!$J$2:$J$47=AB$4&amp;$E9)+0,(Results!$L$2:$L$47))+SUMPRODUCT((Results!$J$2:$J$47=$E9&amp;AB$4)+0,(Results!$L$2:$L$47))</f>
        <v>0</v>
      </c>
      <c r="AC9" s="46">
        <f>IF(ISERROR(IF(AC$4=$E9,0,INDEX(Results!$B$2:$N$47,MATCH('Dummy Standings'!$E9&amp;'Dummy Standings'!AC$4,Results!$J$2:$J$47,0),4)-INDEX(Results!$B$2:$N$47,MATCH('Dummy Standings'!$E9&amp;'Dummy Standings'!AC$4,Results!$J$2:$J$47,0),5))),0,IF(AC$4=$E9,0,INDEX(Results!$B$2:$N$47,MATCH('Dummy Standings'!$E9&amp;'Dummy Standings'!AC$4,Results!$J$2:$J$47,0),4)-INDEX(Results!$B$2:$N$47,MATCH('Dummy Standings'!$E9&amp;'Dummy Standings'!AC$4,Results!$J$2:$J$47,0),5)))</f>
        <v>0</v>
      </c>
      <c r="AD9" s="45">
        <f t="shared" si="9"/>
        <v>0</v>
      </c>
      <c r="AE9" s="45">
        <f>SUMPRODUCT((Results!$J$2:$J$47=AE$4&amp;$E9)+0,(Results!$L$2:$L$47))+SUMPRODUCT((Results!$J$2:$J$47=$E9&amp;AE$4)+0,(Results!$L$2:$L$47))</f>
        <v>1</v>
      </c>
      <c r="AF9" s="46">
        <f>IF(ISERROR(IF(AF$4=$E9,0,INDEX(Results!$B$2:$N$47,MATCH('Dummy Standings'!$E9&amp;'Dummy Standings'!AF$4,Results!$J$2:$J$47,0),4)-INDEX(Results!$B$2:$N$47,MATCH('Dummy Standings'!$E9&amp;'Dummy Standings'!AF$4,Results!$J$2:$J$47,0),5))),0,IF(AF$4=$E9,0,INDEX(Results!$B$2:$N$47,MATCH('Dummy Standings'!$E9&amp;'Dummy Standings'!AF$4,Results!$J$2:$J$47,0),4)-INDEX(Results!$B$2:$N$47,MATCH('Dummy Standings'!$E9&amp;'Dummy Standings'!AF$4,Results!$J$2:$J$47,0),5)))</f>
        <v>0</v>
      </c>
      <c r="AG9" s="45">
        <f t="shared" si="10"/>
        <v>0</v>
      </c>
      <c r="AH9" s="45">
        <f>SUMPRODUCT((Results!$J$2:$J$47=AH$4&amp;$E9)+0,(Results!$L$2:$L$47))+SUMPRODUCT((Results!$J$2:$J$47=$E9&amp;AH$4)+0,(Results!$L$2:$L$47))</f>
        <v>1</v>
      </c>
      <c r="AI9" s="46">
        <f>IF(ISERROR(IF(AI$4=$E9,0,INDEX(Results!$B$2:$N$47,MATCH('Dummy Standings'!$E9&amp;'Dummy Standings'!AI$4,Results!$J$2:$J$47,0),4)-INDEX(Results!$B$2:$N$47,MATCH('Dummy Standings'!$E9&amp;'Dummy Standings'!AI$4,Results!$J$2:$J$47,0),5))),0,IF(AI$4=$E9,0,INDEX(Results!$B$2:$N$47,MATCH('Dummy Standings'!$E9&amp;'Dummy Standings'!AI$4,Results!$J$2:$J$47,0),4)-INDEX(Results!$B$2:$N$47,MATCH('Dummy Standings'!$E9&amp;'Dummy Standings'!AI$4,Results!$J$2:$J$47,0),5)))</f>
        <v>0</v>
      </c>
      <c r="AJ9" s="95">
        <f t="shared" si="24"/>
        <v>1</v>
      </c>
      <c r="AK9" s="46">
        <f t="shared" si="25"/>
        <v>-31</v>
      </c>
      <c r="AL9" s="46">
        <f t="shared" si="11"/>
        <v>7</v>
      </c>
      <c r="AM9" s="46">
        <f t="shared" si="12"/>
        <v>0</v>
      </c>
      <c r="AN9" s="46">
        <f t="shared" si="13"/>
        <v>2</v>
      </c>
      <c r="AO9" s="46">
        <f t="shared" si="14"/>
        <v>0</v>
      </c>
      <c r="AP9" s="46">
        <f t="shared" si="15"/>
        <v>0</v>
      </c>
      <c r="AQ9" s="46">
        <f t="shared" si="16"/>
        <v>0</v>
      </c>
      <c r="AR9" s="46">
        <f t="shared" si="17"/>
        <v>0</v>
      </c>
      <c r="AS9" s="45">
        <f t="shared" si="18"/>
        <v>9</v>
      </c>
      <c r="AT9" s="45">
        <f t="shared" si="19"/>
        <v>2</v>
      </c>
      <c r="AU9" s="45">
        <f t="shared" si="20"/>
        <v>7</v>
      </c>
      <c r="AV9" s="45">
        <f t="shared" si="21"/>
        <v>116</v>
      </c>
      <c r="AW9" s="45">
        <f t="shared" si="22"/>
        <v>259</v>
      </c>
      <c r="AX9" s="46">
        <f t="shared" si="23"/>
        <v>-143</v>
      </c>
      <c r="AY9" s="45">
        <f t="shared" si="26"/>
        <v>5</v>
      </c>
      <c r="AZ9" s="45">
        <f>SUMPRODUCT((Results!$C$3:$C$47='Dummy Standings'!$C9)*(Results!$E$3:$E$47&gt;Results!$F$3:$F$47))</f>
        <v>1</v>
      </c>
      <c r="BA9" s="45">
        <f>SUMPRODUCT((Results!$C$3:$C$47='Dummy Standings'!$C9)*(Results!$E$3:$E$47&lt;Results!$F$3:$F$47))</f>
        <v>4</v>
      </c>
      <c r="BB9" s="45">
        <f>SUMIF(Results!$C$3:$C$47,$C9,Results!$E$3:$E$47)</f>
        <v>53</v>
      </c>
      <c r="BC9" s="45">
        <f>SUMIF(Results!$C$3:$C$47,$C9,Results!$F$3:$F$47)</f>
        <v>151</v>
      </c>
      <c r="BD9" s="46">
        <f t="shared" si="27"/>
        <v>-98</v>
      </c>
      <c r="BE9" s="45">
        <f t="shared" si="28"/>
        <v>4</v>
      </c>
      <c r="BF9" s="45">
        <f>SUMPRODUCT((Results!$H$3:$H$47='Dummy Standings'!$C9)*(Results!$F$3:$F$47&gt;Results!$E$3:$E$47))</f>
        <v>1</v>
      </c>
      <c r="BG9" s="45">
        <f>SUMPRODUCT((Results!$H$3:$H$47='Dummy Standings'!$C9)*(Results!$F$3:$F$47&lt;Results!$E$3:$E$47))</f>
        <v>3</v>
      </c>
      <c r="BH9" s="45">
        <f>SUMIF(Results!$H$3:$H$47,$C9,Results!$F$3:$F$47)</f>
        <v>63</v>
      </c>
      <c r="BI9" s="45">
        <f>SUMIF(Results!$H$3:$H$47,$C9,Results!$E$3:$E$47)</f>
        <v>108</v>
      </c>
      <c r="BJ9" s="46">
        <f t="shared" si="29"/>
        <v>-45</v>
      </c>
      <c r="BK9" s="46">
        <f>INDEX(Teams!$B$5:$F$37,MATCH('Dummy Standings'!$E9,Teams!$E$5:$E$37,0),5)</f>
        <v>5</v>
      </c>
    </row>
    <row r="10" spans="2:63" ht="12.75">
      <c r="B10" s="44">
        <f t="shared" si="0"/>
        <v>7</v>
      </c>
      <c r="C10" s="73" t="str">
        <f>Teams!B11</f>
        <v>Northumberland State</v>
      </c>
      <c r="D10" s="46" t="str">
        <f>INDEX(Teams!$B$5:$D$37,MATCH('Dummy Standings'!$C10,Teams!$B$5:$B$37,0),COLUMN()-1)</f>
        <v>NSCF</v>
      </c>
      <c r="E10" s="99" t="str">
        <f>INDEX(Teams!$B$5:$F$37,MATCH('Dummy Standings'!$C10,Teams!$B$5:$B$37,0),COLUMN()-1)</f>
        <v>NRT</v>
      </c>
      <c r="F10" s="44">
        <f t="shared" si="1"/>
        <v>0</v>
      </c>
      <c r="G10" s="45">
        <f>SUMPRODUCT((Results!$J$2:$J$47=G$4&amp;$E10)+0,(Results!$L$2:$L$47))+SUMPRODUCT((Results!$J$2:$J$47=$E10&amp;G$4)+0,(Results!$L$2:$L$47))</f>
        <v>1</v>
      </c>
      <c r="H10" s="46">
        <f>IF(ISERROR(IF(H$4=$E10,0,INDEX(Results!$B$2:$N$47,MATCH('Dummy Standings'!$E10&amp;'Dummy Standings'!H$4,Results!$J$2:$J$47,0),4)-INDEX(Results!$B$2:$N$47,MATCH('Dummy Standings'!$E10&amp;'Dummy Standings'!H$4,Results!$J$2:$J$47,0),5))),0,IF(H$4=$E10,0,INDEX(Results!$B$2:$N$47,MATCH('Dummy Standings'!$E10&amp;'Dummy Standings'!H$4,Results!$J$2:$J$47,0),4)-INDEX(Results!$B$2:$N$47,MATCH('Dummy Standings'!$E10&amp;'Dummy Standings'!H$4,Results!$J$2:$J$47,0),5)))</f>
        <v>0</v>
      </c>
      <c r="I10" s="45">
        <f t="shared" si="2"/>
        <v>0</v>
      </c>
      <c r="J10" s="45">
        <f>SUMPRODUCT((Results!$J$2:$J$47=J$4&amp;$E10)+0,(Results!$L$2:$L$47))+SUMPRODUCT((Results!$J$2:$J$47=$E10&amp;J$4)+0,(Results!$L$2:$L$47))</f>
        <v>1</v>
      </c>
      <c r="K10" s="46">
        <f>IF(ISERROR(IF(K$4=$E10,0,INDEX(Results!$B$2:$N$47,MATCH('Dummy Standings'!$E10&amp;'Dummy Standings'!K$4,Results!$J$2:$J$47,0),4)-INDEX(Results!$B$2:$N$47,MATCH('Dummy Standings'!$E10&amp;'Dummy Standings'!K$4,Results!$J$2:$J$47,0),5))),0,IF(K$4=$E10,0,INDEX(Results!$B$2:$N$47,MATCH('Dummy Standings'!$E10&amp;'Dummy Standings'!K$4,Results!$J$2:$J$47,0),4)-INDEX(Results!$B$2:$N$47,MATCH('Dummy Standings'!$E10&amp;'Dummy Standings'!K$4,Results!$J$2:$J$47,0),5)))</f>
        <v>-14</v>
      </c>
      <c r="L10" s="45">
        <f t="shared" si="3"/>
        <v>0</v>
      </c>
      <c r="M10" s="45">
        <f>SUMPRODUCT((Results!$J$2:$J$47=M$4&amp;$E10)+0,(Results!$L$2:$L$47))+SUMPRODUCT((Results!$J$2:$J$47=$E10&amp;M$4)+0,(Results!$L$2:$L$47))</f>
        <v>1</v>
      </c>
      <c r="N10" s="46">
        <f>IF(ISERROR(IF(N$4=$E10,0,INDEX(Results!$B$2:$N$47,MATCH('Dummy Standings'!$E10&amp;'Dummy Standings'!N$4,Results!$J$2:$J$47,0),4)-INDEX(Results!$B$2:$N$47,MATCH('Dummy Standings'!$E10&amp;'Dummy Standings'!N$4,Results!$J$2:$J$47,0),5))),0,IF(N$4=$E10,0,INDEX(Results!$B$2:$N$47,MATCH('Dummy Standings'!$E10&amp;'Dummy Standings'!N$4,Results!$J$2:$J$47,0),4)-INDEX(Results!$B$2:$N$47,MATCH('Dummy Standings'!$E10&amp;'Dummy Standings'!N$4,Results!$J$2:$J$47,0),5)))</f>
        <v>0</v>
      </c>
      <c r="O10" s="45">
        <f t="shared" si="4"/>
        <v>1</v>
      </c>
      <c r="P10" s="45">
        <f>SUMPRODUCT((Results!$J$2:$J$47=P$4&amp;$E10)+0,(Results!$L$2:$L$47))+SUMPRODUCT((Results!$J$2:$J$47=$E10&amp;P$4)+0,(Results!$L$2:$L$47))</f>
        <v>1</v>
      </c>
      <c r="Q10" s="46">
        <f>IF(ISERROR(IF(Q$4=$E10,0,INDEX(Results!$B$2:$N$47,MATCH('Dummy Standings'!$E10&amp;'Dummy Standings'!Q$4,Results!$J$2:$J$47,0),4)-INDEX(Results!$B$2:$N$47,MATCH('Dummy Standings'!$E10&amp;'Dummy Standings'!Q$4,Results!$J$2:$J$47,0),5))),0,IF(Q$4=$E10,0,INDEX(Results!$B$2:$N$47,MATCH('Dummy Standings'!$E10&amp;'Dummy Standings'!Q$4,Results!$J$2:$J$47,0),4)-INDEX(Results!$B$2:$N$47,MATCH('Dummy Standings'!$E10&amp;'Dummy Standings'!Q$4,Results!$J$2:$J$47,0),5)))</f>
        <v>0</v>
      </c>
      <c r="R10" s="45">
        <f t="shared" si="5"/>
        <v>0</v>
      </c>
      <c r="S10" s="45">
        <f>SUMPRODUCT((Results!$J$2:$J$47=S$4&amp;$E10)+0,(Results!$L$2:$L$47))+SUMPRODUCT((Results!$J$2:$J$47=$E10&amp;S$4)+0,(Results!$L$2:$L$47))</f>
        <v>1</v>
      </c>
      <c r="T10" s="46">
        <f>IF(ISERROR(IF(T$4=$E10,0,INDEX(Results!$B$2:$N$47,MATCH('Dummy Standings'!$E10&amp;'Dummy Standings'!T$4,Results!$J$2:$J$47,0),4)-INDEX(Results!$B$2:$N$47,MATCH('Dummy Standings'!$E10&amp;'Dummy Standings'!T$4,Results!$J$2:$J$47,0),5))),0,IF(T$4=$E10,0,INDEX(Results!$B$2:$N$47,MATCH('Dummy Standings'!$E10&amp;'Dummy Standings'!T$4,Results!$J$2:$J$47,0),4)-INDEX(Results!$B$2:$N$47,MATCH('Dummy Standings'!$E10&amp;'Dummy Standings'!T$4,Results!$J$2:$J$47,0),5)))</f>
        <v>0</v>
      </c>
      <c r="U10" s="45">
        <f t="shared" si="6"/>
        <v>0</v>
      </c>
      <c r="V10" s="45">
        <f>SUMPRODUCT((Results!$J$2:$J$47=V$4&amp;$E10)+0,(Results!$L$2:$L$47))+SUMPRODUCT((Results!$J$2:$J$47=$E10&amp;V$4)+0,(Results!$L$2:$L$47))</f>
        <v>1</v>
      </c>
      <c r="W10" s="46">
        <f>IF(ISERROR(IF(W$4=$E10,0,INDEX(Results!$B$2:$N$47,MATCH('Dummy Standings'!$E10&amp;'Dummy Standings'!W$4,Results!$J$2:$J$47,0),4)-INDEX(Results!$B$2:$N$47,MATCH('Dummy Standings'!$E10&amp;'Dummy Standings'!W$4,Results!$J$2:$J$47,0),5))),0,IF(W$4=$E10,0,INDEX(Results!$B$2:$N$47,MATCH('Dummy Standings'!$E10&amp;'Dummy Standings'!W$4,Results!$J$2:$J$47,0),4)-INDEX(Results!$B$2:$N$47,MATCH('Dummy Standings'!$E10&amp;'Dummy Standings'!W$4,Results!$J$2:$J$47,0),5)))</f>
        <v>37</v>
      </c>
      <c r="X10" s="45">
        <f t="shared" si="7"/>
        <v>0</v>
      </c>
      <c r="Y10" s="45">
        <f>SUMPRODUCT((Results!$J$2:$J$47=Y$4&amp;$E10)+0,(Results!$L$2:$L$47))+SUMPRODUCT((Results!$J$2:$J$47=$E10&amp;Y$4)+0,(Results!$L$2:$L$47))</f>
        <v>1</v>
      </c>
      <c r="Z10" s="46">
        <f>IF(ISERROR(IF(Z$4=$E10,0,INDEX(Results!$B$2:$N$47,MATCH('Dummy Standings'!$E10&amp;'Dummy Standings'!Z$4,Results!$J$2:$J$47,0),4)-INDEX(Results!$B$2:$N$47,MATCH('Dummy Standings'!$E10&amp;'Dummy Standings'!Z$4,Results!$J$2:$J$47,0),5))),0,IF(Z$4=$E10,0,INDEX(Results!$B$2:$N$47,MATCH('Dummy Standings'!$E10&amp;'Dummy Standings'!Z$4,Results!$J$2:$J$47,0),4)-INDEX(Results!$B$2:$N$47,MATCH('Dummy Standings'!$E10&amp;'Dummy Standings'!Z$4,Results!$J$2:$J$47,0),5)))</f>
        <v>-3</v>
      </c>
      <c r="AA10" s="45">
        <f t="shared" si="8"/>
        <v>0</v>
      </c>
      <c r="AB10" s="45">
        <f>SUMPRODUCT((Results!$J$2:$J$47=AB$4&amp;$E10)+0,(Results!$L$2:$L$47))+SUMPRODUCT((Results!$J$2:$J$47=$E10&amp;AB$4)+0,(Results!$L$2:$L$47))</f>
        <v>1</v>
      </c>
      <c r="AC10" s="46">
        <f>IF(ISERROR(IF(AC$4=$E10,0,INDEX(Results!$B$2:$N$47,MATCH('Dummy Standings'!$E10&amp;'Dummy Standings'!AC$4,Results!$J$2:$J$47,0),4)-INDEX(Results!$B$2:$N$47,MATCH('Dummy Standings'!$E10&amp;'Dummy Standings'!AC$4,Results!$J$2:$J$47,0),5))),0,IF(AC$4=$E10,0,INDEX(Results!$B$2:$N$47,MATCH('Dummy Standings'!$E10&amp;'Dummy Standings'!AC$4,Results!$J$2:$J$47,0),4)-INDEX(Results!$B$2:$N$47,MATCH('Dummy Standings'!$E10&amp;'Dummy Standings'!AC$4,Results!$J$2:$J$47,0),5)))</f>
        <v>11</v>
      </c>
      <c r="AD10" s="45">
        <f t="shared" si="9"/>
        <v>0</v>
      </c>
      <c r="AE10" s="45">
        <f>SUMPRODUCT((Results!$J$2:$J$47=AE$4&amp;$E10)+0,(Results!$L$2:$L$47))+SUMPRODUCT((Results!$J$2:$J$47=$E10&amp;AE$4)+0,(Results!$L$2:$L$47))</f>
        <v>0</v>
      </c>
      <c r="AF10" s="46">
        <f>IF(ISERROR(IF(AF$4=$E10,0,INDEX(Results!$B$2:$N$47,MATCH('Dummy Standings'!$E10&amp;'Dummy Standings'!AF$4,Results!$J$2:$J$47,0),4)-INDEX(Results!$B$2:$N$47,MATCH('Dummy Standings'!$E10&amp;'Dummy Standings'!AF$4,Results!$J$2:$J$47,0),5))),0,IF(AF$4=$E10,0,INDEX(Results!$B$2:$N$47,MATCH('Dummy Standings'!$E10&amp;'Dummy Standings'!AF$4,Results!$J$2:$J$47,0),4)-INDEX(Results!$B$2:$N$47,MATCH('Dummy Standings'!$E10&amp;'Dummy Standings'!AF$4,Results!$J$2:$J$47,0),5)))</f>
        <v>0</v>
      </c>
      <c r="AG10" s="45">
        <f t="shared" si="10"/>
        <v>0</v>
      </c>
      <c r="AH10" s="45">
        <f>SUMPRODUCT((Results!$J$2:$J$47=AH$4&amp;$E10)+0,(Results!$L$2:$L$47))+SUMPRODUCT((Results!$J$2:$J$47=$E10&amp;AH$4)+0,(Results!$L$2:$L$47))</f>
        <v>1</v>
      </c>
      <c r="AI10" s="46">
        <f>IF(ISERROR(IF(AI$4=$E10,0,INDEX(Results!$B$2:$N$47,MATCH('Dummy Standings'!$E10&amp;'Dummy Standings'!AI$4,Results!$J$2:$J$47,0),4)-INDEX(Results!$B$2:$N$47,MATCH('Dummy Standings'!$E10&amp;'Dummy Standings'!AI$4,Results!$J$2:$J$47,0),5))),0,IF(AI$4=$E10,0,INDEX(Results!$B$2:$N$47,MATCH('Dummy Standings'!$E10&amp;'Dummy Standings'!AI$4,Results!$J$2:$J$47,0),4)-INDEX(Results!$B$2:$N$47,MATCH('Dummy Standings'!$E10&amp;'Dummy Standings'!AI$4,Results!$J$2:$J$47,0),5)))</f>
        <v>0</v>
      </c>
      <c r="AJ10" s="95">
        <f t="shared" si="24"/>
        <v>1</v>
      </c>
      <c r="AK10" s="46">
        <f t="shared" si="25"/>
        <v>0</v>
      </c>
      <c r="AL10" s="46">
        <f t="shared" si="11"/>
        <v>7</v>
      </c>
      <c r="AM10" s="46">
        <f t="shared" si="12"/>
        <v>0</v>
      </c>
      <c r="AN10" s="46">
        <f t="shared" si="13"/>
        <v>0</v>
      </c>
      <c r="AO10" s="46">
        <f t="shared" si="14"/>
        <v>0</v>
      </c>
      <c r="AP10" s="46">
        <f t="shared" si="15"/>
        <v>0</v>
      </c>
      <c r="AQ10" s="46">
        <f t="shared" si="16"/>
        <v>0</v>
      </c>
      <c r="AR10" s="46">
        <f t="shared" si="17"/>
        <v>0</v>
      </c>
      <c r="AS10" s="45">
        <f t="shared" si="18"/>
        <v>9</v>
      </c>
      <c r="AT10" s="45">
        <f t="shared" si="19"/>
        <v>2</v>
      </c>
      <c r="AU10" s="45">
        <f t="shared" si="20"/>
        <v>7</v>
      </c>
      <c r="AV10" s="45">
        <f t="shared" si="21"/>
        <v>143</v>
      </c>
      <c r="AW10" s="45">
        <f t="shared" si="22"/>
        <v>168</v>
      </c>
      <c r="AX10" s="46">
        <f t="shared" si="23"/>
        <v>-25</v>
      </c>
      <c r="AY10" s="45">
        <f t="shared" si="26"/>
        <v>4</v>
      </c>
      <c r="AZ10" s="45">
        <f>SUMPRODUCT((Results!$C$3:$C$47='Dummy Standings'!$C10)*(Results!$E$3:$E$47&gt;Results!$F$3:$F$47))</f>
        <v>2</v>
      </c>
      <c r="BA10" s="45">
        <f>SUMPRODUCT((Results!$C$3:$C$47='Dummy Standings'!$C10)*(Results!$E$3:$E$47&lt;Results!$F$3:$F$47))</f>
        <v>2</v>
      </c>
      <c r="BB10" s="45">
        <f>SUMIF(Results!$C$3:$C$47,$C10,Results!$E$3:$E$47)</f>
        <v>93</v>
      </c>
      <c r="BC10" s="45">
        <f>SUMIF(Results!$C$3:$C$47,$C10,Results!$F$3:$F$47)</f>
        <v>62</v>
      </c>
      <c r="BD10" s="46">
        <f t="shared" si="27"/>
        <v>31</v>
      </c>
      <c r="BE10" s="45">
        <f t="shared" si="28"/>
        <v>5</v>
      </c>
      <c r="BF10" s="45">
        <f>SUMPRODUCT((Results!$H$3:$H$47='Dummy Standings'!$C10)*(Results!$F$3:$F$47&gt;Results!$E$3:$E$47))</f>
        <v>0</v>
      </c>
      <c r="BG10" s="45">
        <f>SUMPRODUCT((Results!$H$3:$H$47='Dummy Standings'!$C10)*(Results!$F$3:$F$47&lt;Results!$E$3:$E$47))</f>
        <v>5</v>
      </c>
      <c r="BH10" s="45">
        <f>SUMIF(Results!$H$3:$H$47,$C10,Results!$F$3:$F$47)</f>
        <v>50</v>
      </c>
      <c r="BI10" s="45">
        <f>SUMIF(Results!$H$3:$H$47,$C10,Results!$E$3:$E$47)</f>
        <v>106</v>
      </c>
      <c r="BJ10" s="46">
        <f t="shared" si="29"/>
        <v>-56</v>
      </c>
      <c r="BK10" s="46">
        <f>INDEX(Teams!$B$5:$F$37,MATCH('Dummy Standings'!$E10,Teams!$E$5:$E$37,0),5)</f>
        <v>6</v>
      </c>
    </row>
    <row r="11" spans="2:63" ht="12.75">
      <c r="B11" s="44">
        <f t="shared" si="0"/>
        <v>10</v>
      </c>
      <c r="C11" s="73" t="str">
        <f>Teams!B12</f>
        <v>Novibruk University</v>
      </c>
      <c r="D11" s="46" t="str">
        <f>INDEX(Teams!$B$5:$D$37,MATCH('Dummy Standings'!$C11,Teams!$B$5:$B$37,0),COLUMN()-1)</f>
        <v>NSCF</v>
      </c>
      <c r="E11" s="99" t="str">
        <f>INDEX(Teams!$B$5:$F$37,MATCH('Dummy Standings'!$C11,Teams!$B$5:$B$37,0),COLUMN()-1)</f>
        <v>NOV</v>
      </c>
      <c r="F11" s="44">
        <f t="shared" si="1"/>
        <v>0</v>
      </c>
      <c r="G11" s="45">
        <f>SUMPRODUCT((Results!$J$2:$J$47=G$4&amp;$E11)+0,(Results!$L$2:$L$47))+SUMPRODUCT((Results!$J$2:$J$47=$E11&amp;G$4)+0,(Results!$L$2:$L$47))</f>
        <v>1</v>
      </c>
      <c r="H11" s="46">
        <f>IF(ISERROR(IF(H$4=$E11,0,INDEX(Results!$B$2:$N$47,MATCH('Dummy Standings'!$E11&amp;'Dummy Standings'!H$4,Results!$J$2:$J$47,0),4)-INDEX(Results!$B$2:$N$47,MATCH('Dummy Standings'!$E11&amp;'Dummy Standings'!H$4,Results!$J$2:$J$47,0),5))),0,IF(H$4=$E11,0,INDEX(Results!$B$2:$N$47,MATCH('Dummy Standings'!$E11&amp;'Dummy Standings'!H$4,Results!$J$2:$J$47,0),4)-INDEX(Results!$B$2:$N$47,MATCH('Dummy Standings'!$E11&amp;'Dummy Standings'!H$4,Results!$J$2:$J$47,0),5)))</f>
        <v>0</v>
      </c>
      <c r="I11" s="45">
        <f t="shared" si="2"/>
        <v>0</v>
      </c>
      <c r="J11" s="45">
        <f>SUMPRODUCT((Results!$J$2:$J$47=J$4&amp;$E11)+0,(Results!$L$2:$L$47))+SUMPRODUCT((Results!$J$2:$J$47=$E11&amp;J$4)+0,(Results!$L$2:$L$47))</f>
        <v>1</v>
      </c>
      <c r="K11" s="46">
        <f>IF(ISERROR(IF(K$4=$E11,0,INDEX(Results!$B$2:$N$47,MATCH('Dummy Standings'!$E11&amp;'Dummy Standings'!K$4,Results!$J$2:$J$47,0),4)-INDEX(Results!$B$2:$N$47,MATCH('Dummy Standings'!$E11&amp;'Dummy Standings'!K$4,Results!$J$2:$J$47,0),5))),0,IF(K$4=$E11,0,INDEX(Results!$B$2:$N$47,MATCH('Dummy Standings'!$E11&amp;'Dummy Standings'!K$4,Results!$J$2:$J$47,0),4)-INDEX(Results!$B$2:$N$47,MATCH('Dummy Standings'!$E11&amp;'Dummy Standings'!K$4,Results!$J$2:$J$47,0),5)))</f>
        <v>-14</v>
      </c>
      <c r="L11" s="45">
        <f t="shared" si="3"/>
        <v>0</v>
      </c>
      <c r="M11" s="45">
        <f>SUMPRODUCT((Results!$J$2:$J$47=M$4&amp;$E11)+0,(Results!$L$2:$L$47))+SUMPRODUCT((Results!$J$2:$J$47=$E11&amp;M$4)+0,(Results!$L$2:$L$47))</f>
        <v>1</v>
      </c>
      <c r="N11" s="46">
        <f>IF(ISERROR(IF(N$4=$E11,0,INDEX(Results!$B$2:$N$47,MATCH('Dummy Standings'!$E11&amp;'Dummy Standings'!N$4,Results!$J$2:$J$47,0),4)-INDEX(Results!$B$2:$N$47,MATCH('Dummy Standings'!$E11&amp;'Dummy Standings'!N$4,Results!$J$2:$J$47,0),5))),0,IF(N$4=$E11,0,INDEX(Results!$B$2:$N$47,MATCH('Dummy Standings'!$E11&amp;'Dummy Standings'!N$4,Results!$J$2:$J$47,0),4)-INDEX(Results!$B$2:$N$47,MATCH('Dummy Standings'!$E11&amp;'Dummy Standings'!N$4,Results!$J$2:$J$47,0),5)))</f>
        <v>-3</v>
      </c>
      <c r="O11" s="45">
        <f t="shared" si="4"/>
        <v>0</v>
      </c>
      <c r="P11" s="45">
        <f>SUMPRODUCT((Results!$J$2:$J$47=P$4&amp;$E11)+0,(Results!$L$2:$L$47))+SUMPRODUCT((Results!$J$2:$J$47=$E11&amp;P$4)+0,(Results!$L$2:$L$47))</f>
        <v>1</v>
      </c>
      <c r="Q11" s="46">
        <f>IF(ISERROR(IF(Q$4=$E11,0,INDEX(Results!$B$2:$N$47,MATCH('Dummy Standings'!$E11&amp;'Dummy Standings'!Q$4,Results!$J$2:$J$47,0),4)-INDEX(Results!$B$2:$N$47,MATCH('Dummy Standings'!$E11&amp;'Dummy Standings'!Q$4,Results!$J$2:$J$47,0),5))),0,IF(Q$4=$E11,0,INDEX(Results!$B$2:$N$47,MATCH('Dummy Standings'!$E11&amp;'Dummy Standings'!Q$4,Results!$J$2:$J$47,0),4)-INDEX(Results!$B$2:$N$47,MATCH('Dummy Standings'!$E11&amp;'Dummy Standings'!Q$4,Results!$J$2:$J$47,0),5)))</f>
        <v>0</v>
      </c>
      <c r="R11" s="45">
        <f t="shared" si="5"/>
        <v>0</v>
      </c>
      <c r="S11" s="45">
        <f>SUMPRODUCT((Results!$J$2:$J$47=S$4&amp;$E11)+0,(Results!$L$2:$L$47))+SUMPRODUCT((Results!$J$2:$J$47=$E11&amp;S$4)+0,(Results!$L$2:$L$47))</f>
        <v>1</v>
      </c>
      <c r="T11" s="46">
        <f>IF(ISERROR(IF(T$4=$E11,0,INDEX(Results!$B$2:$N$47,MATCH('Dummy Standings'!$E11&amp;'Dummy Standings'!T$4,Results!$J$2:$J$47,0),4)-INDEX(Results!$B$2:$N$47,MATCH('Dummy Standings'!$E11&amp;'Dummy Standings'!T$4,Results!$J$2:$J$47,0),5))),0,IF(T$4=$E11,0,INDEX(Results!$B$2:$N$47,MATCH('Dummy Standings'!$E11&amp;'Dummy Standings'!T$4,Results!$J$2:$J$47,0),4)-INDEX(Results!$B$2:$N$47,MATCH('Dummy Standings'!$E11&amp;'Dummy Standings'!T$4,Results!$J$2:$J$47,0),5)))</f>
        <v>23</v>
      </c>
      <c r="U11" s="45">
        <f t="shared" si="6"/>
        <v>0</v>
      </c>
      <c r="V11" s="45">
        <f>SUMPRODUCT((Results!$J$2:$J$47=V$4&amp;$E11)+0,(Results!$L$2:$L$47))+SUMPRODUCT((Results!$J$2:$J$47=$E11&amp;V$4)+0,(Results!$L$2:$L$47))</f>
        <v>0</v>
      </c>
      <c r="W11" s="46">
        <f>IF(ISERROR(IF(W$4=$E11,0,INDEX(Results!$B$2:$N$47,MATCH('Dummy Standings'!$E11&amp;'Dummy Standings'!W$4,Results!$J$2:$J$47,0),4)-INDEX(Results!$B$2:$N$47,MATCH('Dummy Standings'!$E11&amp;'Dummy Standings'!W$4,Results!$J$2:$J$47,0),5))),0,IF(W$4=$E11,0,INDEX(Results!$B$2:$N$47,MATCH('Dummy Standings'!$E11&amp;'Dummy Standings'!W$4,Results!$J$2:$J$47,0),4)-INDEX(Results!$B$2:$N$47,MATCH('Dummy Standings'!$E11&amp;'Dummy Standings'!W$4,Results!$J$2:$J$47,0),5)))</f>
        <v>0</v>
      </c>
      <c r="X11" s="45">
        <f t="shared" si="7"/>
        <v>0</v>
      </c>
      <c r="Y11" s="45">
        <f>SUMPRODUCT((Results!$J$2:$J$47=Y$4&amp;$E11)+0,(Results!$L$2:$L$47))+SUMPRODUCT((Results!$J$2:$J$47=$E11&amp;Y$4)+0,(Results!$L$2:$L$47))</f>
        <v>1</v>
      </c>
      <c r="Z11" s="46">
        <f>IF(ISERROR(IF(Z$4=$E11,0,INDEX(Results!$B$2:$N$47,MATCH('Dummy Standings'!$E11&amp;'Dummy Standings'!Z$4,Results!$J$2:$J$47,0),4)-INDEX(Results!$B$2:$N$47,MATCH('Dummy Standings'!$E11&amp;'Dummy Standings'!Z$4,Results!$J$2:$J$47,0),5))),0,IF(Z$4=$E11,0,INDEX(Results!$B$2:$N$47,MATCH('Dummy Standings'!$E11&amp;'Dummy Standings'!Z$4,Results!$J$2:$J$47,0),4)-INDEX(Results!$B$2:$N$47,MATCH('Dummy Standings'!$E11&amp;'Dummy Standings'!Z$4,Results!$J$2:$J$47,0),5)))</f>
        <v>0</v>
      </c>
      <c r="AA11" s="45">
        <f t="shared" si="8"/>
        <v>0</v>
      </c>
      <c r="AB11" s="45">
        <f>SUMPRODUCT((Results!$J$2:$J$47=AB$4&amp;$E11)+0,(Results!$L$2:$L$47))+SUMPRODUCT((Results!$J$2:$J$47=$E11&amp;AB$4)+0,(Results!$L$2:$L$47))</f>
        <v>1</v>
      </c>
      <c r="AC11" s="46">
        <f>IF(ISERROR(IF(AC$4=$E11,0,INDEX(Results!$B$2:$N$47,MATCH('Dummy Standings'!$E11&amp;'Dummy Standings'!AC$4,Results!$J$2:$J$47,0),4)-INDEX(Results!$B$2:$N$47,MATCH('Dummy Standings'!$E11&amp;'Dummy Standings'!AC$4,Results!$J$2:$J$47,0),5))),0,IF(AC$4=$E11,0,INDEX(Results!$B$2:$N$47,MATCH('Dummy Standings'!$E11&amp;'Dummy Standings'!AC$4,Results!$J$2:$J$47,0),4)-INDEX(Results!$B$2:$N$47,MATCH('Dummy Standings'!$E11&amp;'Dummy Standings'!AC$4,Results!$J$2:$J$47,0),5)))</f>
        <v>-11</v>
      </c>
      <c r="AD11" s="45">
        <f t="shared" si="9"/>
        <v>0</v>
      </c>
      <c r="AE11" s="45">
        <f>SUMPRODUCT((Results!$J$2:$J$47=AE$4&amp;$E11)+0,(Results!$L$2:$L$47))+SUMPRODUCT((Results!$J$2:$J$47=$E11&amp;AE$4)+0,(Results!$L$2:$L$47))</f>
        <v>1</v>
      </c>
      <c r="AF11" s="46">
        <f>IF(ISERROR(IF(AF$4=$E11,0,INDEX(Results!$B$2:$N$47,MATCH('Dummy Standings'!$E11&amp;'Dummy Standings'!AF$4,Results!$J$2:$J$47,0),4)-INDEX(Results!$B$2:$N$47,MATCH('Dummy Standings'!$E11&amp;'Dummy Standings'!AF$4,Results!$J$2:$J$47,0),5))),0,IF(AF$4=$E11,0,INDEX(Results!$B$2:$N$47,MATCH('Dummy Standings'!$E11&amp;'Dummy Standings'!AF$4,Results!$J$2:$J$47,0),4)-INDEX(Results!$B$2:$N$47,MATCH('Dummy Standings'!$E11&amp;'Dummy Standings'!AF$4,Results!$J$2:$J$47,0),5)))</f>
        <v>0</v>
      </c>
      <c r="AG11" s="45">
        <f t="shared" si="10"/>
        <v>0</v>
      </c>
      <c r="AH11" s="45">
        <f>SUMPRODUCT((Results!$J$2:$J$47=AH$4&amp;$E11)+0,(Results!$L$2:$L$47))+SUMPRODUCT((Results!$J$2:$J$47=$E11&amp;AH$4)+0,(Results!$L$2:$L$47))</f>
        <v>1</v>
      </c>
      <c r="AI11" s="46">
        <f>IF(ISERROR(IF(AI$4=$E11,0,INDEX(Results!$B$2:$N$47,MATCH('Dummy Standings'!$E11&amp;'Dummy Standings'!AI$4,Results!$J$2:$J$47,0),4)-INDEX(Results!$B$2:$N$47,MATCH('Dummy Standings'!$E11&amp;'Dummy Standings'!AI$4,Results!$J$2:$J$47,0),5))),0,IF(AI$4=$E11,0,INDEX(Results!$B$2:$N$47,MATCH('Dummy Standings'!$E11&amp;'Dummy Standings'!AI$4,Results!$J$2:$J$47,0),4)-INDEX(Results!$B$2:$N$47,MATCH('Dummy Standings'!$E11&amp;'Dummy Standings'!AI$4,Results!$J$2:$J$47,0),5)))</f>
        <v>-12</v>
      </c>
      <c r="AJ11" s="95">
        <f t="shared" si="24"/>
        <v>0</v>
      </c>
      <c r="AK11" s="46">
        <f t="shared" si="25"/>
        <v>0</v>
      </c>
      <c r="AL11" s="46">
        <f t="shared" si="11"/>
        <v>10</v>
      </c>
      <c r="AM11" s="46">
        <f t="shared" si="12"/>
        <v>0</v>
      </c>
      <c r="AN11" s="46">
        <f t="shared" si="13"/>
        <v>0</v>
      </c>
      <c r="AO11" s="46">
        <f t="shared" si="14"/>
        <v>0</v>
      </c>
      <c r="AP11" s="46">
        <f t="shared" si="15"/>
        <v>0</v>
      </c>
      <c r="AQ11" s="46">
        <f t="shared" si="16"/>
        <v>0</v>
      </c>
      <c r="AR11" s="46">
        <f t="shared" si="17"/>
        <v>0</v>
      </c>
      <c r="AS11" s="45">
        <f aca="true" t="shared" si="30" ref="AS11:AX12">AY11+BE11</f>
        <v>9</v>
      </c>
      <c r="AT11" s="45">
        <f t="shared" si="30"/>
        <v>1</v>
      </c>
      <c r="AU11" s="45">
        <f t="shared" si="30"/>
        <v>8</v>
      </c>
      <c r="AV11" s="45">
        <f t="shared" si="30"/>
        <v>179</v>
      </c>
      <c r="AW11" s="45">
        <f t="shared" si="30"/>
        <v>277</v>
      </c>
      <c r="AX11" s="46">
        <f t="shared" si="30"/>
        <v>-98</v>
      </c>
      <c r="AY11" s="45">
        <f>AZ11+BA11</f>
        <v>5</v>
      </c>
      <c r="AZ11" s="45">
        <f>SUMPRODUCT((Results!$C$3:$C$47='Dummy Standings'!$C11)*(Results!$E$3:$E$47&gt;Results!$F$3:$F$47))</f>
        <v>1</v>
      </c>
      <c r="BA11" s="45">
        <f>SUMPRODUCT((Results!$C$3:$C$47='Dummy Standings'!$C11)*(Results!$E$3:$E$47&lt;Results!$F$3:$F$47))</f>
        <v>4</v>
      </c>
      <c r="BB11" s="45">
        <f>SUMIF(Results!$C$3:$C$47,$C11,Results!$E$3:$E$47)</f>
        <v>123</v>
      </c>
      <c r="BC11" s="45">
        <f>SUMIF(Results!$C$3:$C$47,$C11,Results!$F$3:$F$47)</f>
        <v>140</v>
      </c>
      <c r="BD11" s="46">
        <f>BB11-BC11</f>
        <v>-17</v>
      </c>
      <c r="BE11" s="45">
        <f>BF11+BG11</f>
        <v>4</v>
      </c>
      <c r="BF11" s="45">
        <f>SUMPRODUCT((Results!$H$3:$H$47='Dummy Standings'!$C11)*(Results!$F$3:$F$47&gt;Results!$E$3:$E$47))</f>
        <v>0</v>
      </c>
      <c r="BG11" s="45">
        <f>SUMPRODUCT((Results!$H$3:$H$47='Dummy Standings'!$C11)*(Results!$F$3:$F$47&lt;Results!$E$3:$E$47))</f>
        <v>4</v>
      </c>
      <c r="BH11" s="45">
        <f>SUMIF(Results!$H$3:$H$47,$C11,Results!$F$3:$F$47)</f>
        <v>56</v>
      </c>
      <c r="BI11" s="45">
        <f>SUMIF(Results!$H$3:$H$47,$C11,Results!$E$3:$E$47)</f>
        <v>137</v>
      </c>
      <c r="BJ11" s="46">
        <f>BH11-BI11</f>
        <v>-81</v>
      </c>
      <c r="BK11" s="46">
        <f>INDEX(Teams!$B$5:$F$37,MATCH('Dummy Standings'!$E11,Teams!$E$5:$E$37,0),5)</f>
        <v>7</v>
      </c>
    </row>
    <row r="12" spans="2:63" ht="12.75">
      <c r="B12" s="44">
        <f t="shared" si="0"/>
        <v>4</v>
      </c>
      <c r="C12" s="73" t="str">
        <f>Teams!B13</f>
        <v>Ramusok Capital University</v>
      </c>
      <c r="D12" s="46" t="str">
        <f>INDEX(Teams!$B$5:$D$37,MATCH('Dummy Standings'!$C12,Teams!$B$5:$B$37,0),COLUMN()-1)</f>
        <v>NSCF</v>
      </c>
      <c r="E12" s="99" t="str">
        <f>INDEX(Teams!$B$5:$F$37,MATCH('Dummy Standings'!$C12,Teams!$B$5:$B$37,0),COLUMN()-1)</f>
        <v>RCU</v>
      </c>
      <c r="F12" s="44">
        <f t="shared" si="1"/>
        <v>0</v>
      </c>
      <c r="G12" s="45">
        <f>SUMPRODUCT((Results!$J$2:$J$47=G$4&amp;$E12)+0,(Results!$L$2:$L$47))+SUMPRODUCT((Results!$J$2:$J$47=$E12&amp;G$4)+0,(Results!$L$2:$L$47))</f>
        <v>1</v>
      </c>
      <c r="H12" s="46">
        <f>IF(ISERROR(IF(H$4=$E12,0,INDEX(Results!$B$2:$N$47,MATCH('Dummy Standings'!$E12&amp;'Dummy Standings'!H$4,Results!$J$2:$J$47,0),4)-INDEX(Results!$B$2:$N$47,MATCH('Dummy Standings'!$E12&amp;'Dummy Standings'!H$4,Results!$J$2:$J$47,0),5))),0,IF(H$4=$E12,0,INDEX(Results!$B$2:$N$47,MATCH('Dummy Standings'!$E12&amp;'Dummy Standings'!H$4,Results!$J$2:$J$47,0),4)-INDEX(Results!$B$2:$N$47,MATCH('Dummy Standings'!$E12&amp;'Dummy Standings'!H$4,Results!$J$2:$J$47,0),5)))</f>
        <v>-14</v>
      </c>
      <c r="I12" s="45">
        <f t="shared" si="2"/>
        <v>0</v>
      </c>
      <c r="J12" s="45">
        <f>SUMPRODUCT((Results!$J$2:$J$47=J$4&amp;$E12)+0,(Results!$L$2:$L$47))+SUMPRODUCT((Results!$J$2:$J$47=$E12&amp;J$4)+0,(Results!$L$2:$L$47))</f>
        <v>0</v>
      </c>
      <c r="K12" s="46">
        <f>IF(ISERROR(IF(K$4=$E12,0,INDEX(Results!$B$2:$N$47,MATCH('Dummy Standings'!$E12&amp;'Dummy Standings'!K$4,Results!$J$2:$J$47,0),4)-INDEX(Results!$B$2:$N$47,MATCH('Dummy Standings'!$E12&amp;'Dummy Standings'!K$4,Results!$J$2:$J$47,0),5))),0,IF(K$4=$E12,0,INDEX(Results!$B$2:$N$47,MATCH('Dummy Standings'!$E12&amp;'Dummy Standings'!K$4,Results!$J$2:$J$47,0),4)-INDEX(Results!$B$2:$N$47,MATCH('Dummy Standings'!$E12&amp;'Dummy Standings'!K$4,Results!$J$2:$J$47,0),5)))</f>
        <v>0</v>
      </c>
      <c r="L12" s="45">
        <f t="shared" si="3"/>
        <v>0</v>
      </c>
      <c r="M12" s="45">
        <f>SUMPRODUCT((Results!$J$2:$J$47=M$4&amp;$E12)+0,(Results!$L$2:$L$47))+SUMPRODUCT((Results!$J$2:$J$47=$E12&amp;M$4)+0,(Results!$L$2:$L$47))</f>
        <v>1</v>
      </c>
      <c r="N12" s="46">
        <f>IF(ISERROR(IF(N$4=$E12,0,INDEX(Results!$B$2:$N$47,MATCH('Dummy Standings'!$E12&amp;'Dummy Standings'!N$4,Results!$J$2:$J$47,0),4)-INDEX(Results!$B$2:$N$47,MATCH('Dummy Standings'!$E12&amp;'Dummy Standings'!N$4,Results!$J$2:$J$47,0),5))),0,IF(N$4=$E12,0,INDEX(Results!$B$2:$N$47,MATCH('Dummy Standings'!$E12&amp;'Dummy Standings'!N$4,Results!$J$2:$J$47,0),4)-INDEX(Results!$B$2:$N$47,MATCH('Dummy Standings'!$E12&amp;'Dummy Standings'!N$4,Results!$J$2:$J$47,0),5)))</f>
        <v>-3</v>
      </c>
      <c r="O12" s="45">
        <f t="shared" si="4"/>
        <v>0</v>
      </c>
      <c r="P12" s="45">
        <f>SUMPRODUCT((Results!$J$2:$J$47=P$4&amp;$E12)+0,(Results!$L$2:$L$47))+SUMPRODUCT((Results!$J$2:$J$47=$E12&amp;P$4)+0,(Results!$L$2:$L$47))</f>
        <v>1</v>
      </c>
      <c r="Q12" s="46">
        <f>IF(ISERROR(IF(Q$4=$E12,0,INDEX(Results!$B$2:$N$47,MATCH('Dummy Standings'!$E12&amp;'Dummy Standings'!Q$4,Results!$J$2:$J$47,0),4)-INDEX(Results!$B$2:$N$47,MATCH('Dummy Standings'!$E12&amp;'Dummy Standings'!Q$4,Results!$J$2:$J$47,0),5))),0,IF(Q$4=$E12,0,INDEX(Results!$B$2:$N$47,MATCH('Dummy Standings'!$E12&amp;'Dummy Standings'!Q$4,Results!$J$2:$J$47,0),4)-INDEX(Results!$B$2:$N$47,MATCH('Dummy Standings'!$E12&amp;'Dummy Standings'!Q$4,Results!$J$2:$J$47,0),5)))</f>
        <v>0</v>
      </c>
      <c r="R12" s="45">
        <f t="shared" si="5"/>
        <v>0</v>
      </c>
      <c r="S12" s="45">
        <f>SUMPRODUCT((Results!$J$2:$J$47=S$4&amp;$E12)+0,(Results!$L$2:$L$47))+SUMPRODUCT((Results!$J$2:$J$47=$E12&amp;S$4)+0,(Results!$L$2:$L$47))</f>
        <v>1</v>
      </c>
      <c r="T12" s="46">
        <f>IF(ISERROR(IF(T$4=$E12,0,INDEX(Results!$B$2:$N$47,MATCH('Dummy Standings'!$E12&amp;'Dummy Standings'!T$4,Results!$J$2:$J$47,0),4)-INDEX(Results!$B$2:$N$47,MATCH('Dummy Standings'!$E12&amp;'Dummy Standings'!T$4,Results!$J$2:$J$47,0),5))),0,IF(T$4=$E12,0,INDEX(Results!$B$2:$N$47,MATCH('Dummy Standings'!$E12&amp;'Dummy Standings'!T$4,Results!$J$2:$J$47,0),4)-INDEX(Results!$B$2:$N$47,MATCH('Dummy Standings'!$E12&amp;'Dummy Standings'!T$4,Results!$J$2:$J$47,0),5)))</f>
        <v>22</v>
      </c>
      <c r="U12" s="45">
        <f t="shared" si="6"/>
        <v>0</v>
      </c>
      <c r="V12" s="45">
        <f>SUMPRODUCT((Results!$J$2:$J$47=V$4&amp;$E12)+0,(Results!$L$2:$L$47))+SUMPRODUCT((Results!$J$2:$J$47=$E12&amp;V$4)+0,(Results!$L$2:$L$47))</f>
        <v>1</v>
      </c>
      <c r="W12" s="46">
        <f>IF(ISERROR(IF(W$4=$E12,0,INDEX(Results!$B$2:$N$47,MATCH('Dummy Standings'!$E12&amp;'Dummy Standings'!W$4,Results!$J$2:$J$47,0),4)-INDEX(Results!$B$2:$N$47,MATCH('Dummy Standings'!$E12&amp;'Dummy Standings'!W$4,Results!$J$2:$J$47,0),5))),0,IF(W$4=$E12,0,INDEX(Results!$B$2:$N$47,MATCH('Dummy Standings'!$E12&amp;'Dummy Standings'!W$4,Results!$J$2:$J$47,0),4)-INDEX(Results!$B$2:$N$47,MATCH('Dummy Standings'!$E12&amp;'Dummy Standings'!W$4,Results!$J$2:$J$47,0),5)))</f>
        <v>0</v>
      </c>
      <c r="X12" s="45">
        <f t="shared" si="7"/>
        <v>0</v>
      </c>
      <c r="Y12" s="45">
        <f>SUMPRODUCT((Results!$J$2:$J$47=Y$4&amp;$E12)+0,(Results!$L$2:$L$47))+SUMPRODUCT((Results!$J$2:$J$47=$E12&amp;Y$4)+0,(Results!$L$2:$L$47))</f>
        <v>1</v>
      </c>
      <c r="Z12" s="46">
        <f>IF(ISERROR(IF(Z$4=$E12,0,INDEX(Results!$B$2:$N$47,MATCH('Dummy Standings'!$E12&amp;'Dummy Standings'!Z$4,Results!$J$2:$J$47,0),4)-INDEX(Results!$B$2:$N$47,MATCH('Dummy Standings'!$E12&amp;'Dummy Standings'!Z$4,Results!$J$2:$J$47,0),5))),0,IF(Z$4=$E12,0,INDEX(Results!$B$2:$N$47,MATCH('Dummy Standings'!$E12&amp;'Dummy Standings'!Z$4,Results!$J$2:$J$47,0),4)-INDEX(Results!$B$2:$N$47,MATCH('Dummy Standings'!$E12&amp;'Dummy Standings'!Z$4,Results!$J$2:$J$47,0),5)))</f>
        <v>13</v>
      </c>
      <c r="AA12" s="45">
        <f t="shared" si="8"/>
        <v>0</v>
      </c>
      <c r="AB12" s="45">
        <f>SUMPRODUCT((Results!$J$2:$J$47=AB$4&amp;$E12)+0,(Results!$L$2:$L$47))+SUMPRODUCT((Results!$J$2:$J$47=$E12&amp;AB$4)+0,(Results!$L$2:$L$47))</f>
        <v>1</v>
      </c>
      <c r="AC12" s="46">
        <f>IF(ISERROR(IF(AC$4=$E12,0,INDEX(Results!$B$2:$N$47,MATCH('Dummy Standings'!$E12&amp;'Dummy Standings'!AC$4,Results!$J$2:$J$47,0),4)-INDEX(Results!$B$2:$N$47,MATCH('Dummy Standings'!$E12&amp;'Dummy Standings'!AC$4,Results!$J$2:$J$47,0),5))),0,IF(AC$4=$E12,0,INDEX(Results!$B$2:$N$47,MATCH('Dummy Standings'!$E12&amp;'Dummy Standings'!AC$4,Results!$J$2:$J$47,0),4)-INDEX(Results!$B$2:$N$47,MATCH('Dummy Standings'!$E12&amp;'Dummy Standings'!AC$4,Results!$J$2:$J$47,0),5)))</f>
        <v>0</v>
      </c>
      <c r="AD12" s="45">
        <f t="shared" si="9"/>
        <v>0</v>
      </c>
      <c r="AE12" s="45">
        <f>SUMPRODUCT((Results!$J$2:$J$47=AE$4&amp;$E12)+0,(Results!$L$2:$L$47))+SUMPRODUCT((Results!$J$2:$J$47=$E12&amp;AE$4)+0,(Results!$L$2:$L$47))</f>
        <v>1</v>
      </c>
      <c r="AF12" s="46">
        <f>IF(ISERROR(IF(AF$4=$E12,0,INDEX(Results!$B$2:$N$47,MATCH('Dummy Standings'!$E12&amp;'Dummy Standings'!AF$4,Results!$J$2:$J$47,0),4)-INDEX(Results!$B$2:$N$47,MATCH('Dummy Standings'!$E12&amp;'Dummy Standings'!AF$4,Results!$J$2:$J$47,0),5))),0,IF(AF$4=$E12,0,INDEX(Results!$B$2:$N$47,MATCH('Dummy Standings'!$E12&amp;'Dummy Standings'!AF$4,Results!$J$2:$J$47,0),4)-INDEX(Results!$B$2:$N$47,MATCH('Dummy Standings'!$E12&amp;'Dummy Standings'!AF$4,Results!$J$2:$J$47,0),5)))</f>
        <v>0</v>
      </c>
      <c r="AG12" s="45">
        <f t="shared" si="10"/>
        <v>0</v>
      </c>
      <c r="AH12" s="45">
        <f>SUMPRODUCT((Results!$J$2:$J$47=AH$4&amp;$E12)+0,(Results!$L$2:$L$47))+SUMPRODUCT((Results!$J$2:$J$47=$E12&amp;AH$4)+0,(Results!$L$2:$L$47))</f>
        <v>1</v>
      </c>
      <c r="AI12" s="46">
        <f>IF(ISERROR(IF(AI$4=$E12,0,INDEX(Results!$B$2:$N$47,MATCH('Dummy Standings'!$E12&amp;'Dummy Standings'!AI$4,Results!$J$2:$J$47,0),4)-INDEX(Results!$B$2:$N$47,MATCH('Dummy Standings'!$E12&amp;'Dummy Standings'!AI$4,Results!$J$2:$J$47,0),5))),0,IF(AI$4=$E12,0,INDEX(Results!$B$2:$N$47,MATCH('Dummy Standings'!$E12&amp;'Dummy Standings'!AI$4,Results!$J$2:$J$47,0),4)-INDEX(Results!$B$2:$N$47,MATCH('Dummy Standings'!$E12&amp;'Dummy Standings'!AI$4,Results!$J$2:$J$47,0),5)))</f>
        <v>3</v>
      </c>
      <c r="AJ12" s="95">
        <f t="shared" si="24"/>
        <v>0</v>
      </c>
      <c r="AK12" s="46">
        <f t="shared" si="25"/>
        <v>0</v>
      </c>
      <c r="AL12" s="46">
        <f t="shared" si="11"/>
        <v>3</v>
      </c>
      <c r="AM12" s="46">
        <f t="shared" si="12"/>
        <v>0</v>
      </c>
      <c r="AN12" s="46">
        <f t="shared" si="13"/>
        <v>0</v>
      </c>
      <c r="AO12" s="46">
        <f t="shared" si="14"/>
        <v>1</v>
      </c>
      <c r="AP12" s="46">
        <f t="shared" si="15"/>
        <v>0</v>
      </c>
      <c r="AQ12" s="46">
        <f t="shared" si="16"/>
        <v>0</v>
      </c>
      <c r="AR12" s="46">
        <f t="shared" si="17"/>
        <v>0</v>
      </c>
      <c r="AS12" s="45">
        <f t="shared" si="30"/>
        <v>9</v>
      </c>
      <c r="AT12" s="45">
        <f t="shared" si="30"/>
        <v>6</v>
      </c>
      <c r="AU12" s="45">
        <f t="shared" si="30"/>
        <v>3</v>
      </c>
      <c r="AV12" s="45">
        <f t="shared" si="30"/>
        <v>263</v>
      </c>
      <c r="AW12" s="45">
        <f t="shared" si="30"/>
        <v>211</v>
      </c>
      <c r="AX12" s="46">
        <f t="shared" si="30"/>
        <v>52</v>
      </c>
      <c r="AY12" s="45">
        <f>AZ12+BA12</f>
        <v>5</v>
      </c>
      <c r="AZ12" s="45">
        <f>SUMPRODUCT((Results!$C$3:$C$47='Dummy Standings'!$C12)*(Results!$E$3:$E$47&gt;Results!$F$3:$F$47))</f>
        <v>3</v>
      </c>
      <c r="BA12" s="45">
        <f>SUMPRODUCT((Results!$C$3:$C$47='Dummy Standings'!$C12)*(Results!$E$3:$E$47&lt;Results!$F$3:$F$47))</f>
        <v>2</v>
      </c>
      <c r="BB12" s="45">
        <f>SUMIF(Results!$C$3:$C$47,$C12,Results!$E$3:$E$47)</f>
        <v>151</v>
      </c>
      <c r="BC12" s="45">
        <f>SUMIF(Results!$C$3:$C$47,$C12,Results!$F$3:$F$47)</f>
        <v>130</v>
      </c>
      <c r="BD12" s="46">
        <f>BB12-BC12</f>
        <v>21</v>
      </c>
      <c r="BE12" s="45">
        <f>BF12+BG12</f>
        <v>4</v>
      </c>
      <c r="BF12" s="45">
        <f>SUMPRODUCT((Results!$H$3:$H$47='Dummy Standings'!$C12)*(Results!$F$3:$F$47&gt;Results!$E$3:$E$47))</f>
        <v>3</v>
      </c>
      <c r="BG12" s="45">
        <f>SUMPRODUCT((Results!$H$3:$H$47='Dummy Standings'!$C12)*(Results!$F$3:$F$47&lt;Results!$E$3:$E$47))</f>
        <v>1</v>
      </c>
      <c r="BH12" s="45">
        <f>SUMIF(Results!$H$3:$H$47,$C12,Results!$F$3:$F$47)</f>
        <v>112</v>
      </c>
      <c r="BI12" s="45">
        <f>SUMIF(Results!$H$3:$H$47,$C12,Results!$E$3:$E$47)</f>
        <v>81</v>
      </c>
      <c r="BJ12" s="46">
        <f>BH12-BI12</f>
        <v>31</v>
      </c>
      <c r="BK12" s="46">
        <f>INDEX(Teams!$B$5:$F$37,MATCH('Dummy Standings'!$E12,Teams!$E$5:$E$37,0),5)</f>
        <v>8</v>
      </c>
    </row>
    <row r="13" spans="2:63" ht="12.75">
      <c r="B13" s="44">
        <f t="shared" si="0"/>
        <v>8</v>
      </c>
      <c r="C13" s="73" t="str">
        <f>Teams!B14</f>
        <v>Sniper University</v>
      </c>
      <c r="D13" s="46" t="str">
        <f>INDEX(Teams!$B$5:$D$37,MATCH('Dummy Standings'!$C13,Teams!$B$5:$B$37,0),COLUMN()-1)</f>
        <v>NSCF</v>
      </c>
      <c r="E13" s="99" t="str">
        <f>INDEX(Teams!$B$5:$F$37,MATCH('Dummy Standings'!$C13,Teams!$B$5:$B$37,0),COLUMN()-1)</f>
        <v>SNP</v>
      </c>
      <c r="F13" s="44">
        <f t="shared" si="1"/>
        <v>0</v>
      </c>
      <c r="G13" s="45">
        <f>SUMPRODUCT((Results!$J$2:$J$47=G$4&amp;$E13)+0,(Results!$L$2:$L$47))+SUMPRODUCT((Results!$J$2:$J$47=$E13&amp;G$4)+0,(Results!$L$2:$L$47))</f>
        <v>1</v>
      </c>
      <c r="H13" s="46">
        <f>IF(ISERROR(IF(H$4=$E13,0,INDEX(Results!$B$2:$N$47,MATCH('Dummy Standings'!$E13&amp;'Dummy Standings'!H$4,Results!$J$2:$J$47,0),4)-INDEX(Results!$B$2:$N$47,MATCH('Dummy Standings'!$E13&amp;'Dummy Standings'!H$4,Results!$J$2:$J$47,0),5))),0,IF(H$4=$E13,0,INDEX(Results!$B$2:$N$47,MATCH('Dummy Standings'!$E13&amp;'Dummy Standings'!H$4,Results!$J$2:$J$47,0),4)-INDEX(Results!$B$2:$N$47,MATCH('Dummy Standings'!$E13&amp;'Dummy Standings'!H$4,Results!$J$2:$J$47,0),5)))</f>
        <v>0</v>
      </c>
      <c r="I13" s="45">
        <f t="shared" si="2"/>
        <v>0</v>
      </c>
      <c r="J13" s="45">
        <f>SUMPRODUCT((Results!$J$2:$J$47=J$4&amp;$E13)+0,(Results!$L$2:$L$47))+SUMPRODUCT((Results!$J$2:$J$47=$E13&amp;J$4)+0,(Results!$L$2:$L$47))</f>
        <v>1</v>
      </c>
      <c r="K13" s="46">
        <f>IF(ISERROR(IF(K$4=$E13,0,INDEX(Results!$B$2:$N$47,MATCH('Dummy Standings'!$E13&amp;'Dummy Standings'!K$4,Results!$J$2:$J$47,0),4)-INDEX(Results!$B$2:$N$47,MATCH('Dummy Standings'!$E13&amp;'Dummy Standings'!K$4,Results!$J$2:$J$47,0),5))),0,IF(K$4=$E13,0,INDEX(Results!$B$2:$N$47,MATCH('Dummy Standings'!$E13&amp;'Dummy Standings'!K$4,Results!$J$2:$J$47,0),4)-INDEX(Results!$B$2:$N$47,MATCH('Dummy Standings'!$E13&amp;'Dummy Standings'!K$4,Results!$J$2:$J$47,0),5)))</f>
        <v>0</v>
      </c>
      <c r="L13" s="45">
        <f t="shared" si="3"/>
        <v>0</v>
      </c>
      <c r="M13" s="45">
        <f>SUMPRODUCT((Results!$J$2:$J$47=M$4&amp;$E13)+0,(Results!$L$2:$L$47))+SUMPRODUCT((Results!$J$2:$J$47=$E13&amp;M$4)+0,(Results!$L$2:$L$47))</f>
        <v>1</v>
      </c>
      <c r="N13" s="46">
        <f>IF(ISERROR(IF(N$4=$E13,0,INDEX(Results!$B$2:$N$47,MATCH('Dummy Standings'!$E13&amp;'Dummy Standings'!N$4,Results!$J$2:$J$47,0),4)-INDEX(Results!$B$2:$N$47,MATCH('Dummy Standings'!$E13&amp;'Dummy Standings'!N$4,Results!$J$2:$J$47,0),5))),0,IF(N$4=$E13,0,INDEX(Results!$B$2:$N$47,MATCH('Dummy Standings'!$E13&amp;'Dummy Standings'!N$4,Results!$J$2:$J$47,0),4)-INDEX(Results!$B$2:$N$47,MATCH('Dummy Standings'!$E13&amp;'Dummy Standings'!N$4,Results!$J$2:$J$47,0),5)))</f>
        <v>0</v>
      </c>
      <c r="O13" s="45">
        <f t="shared" si="4"/>
        <v>1</v>
      </c>
      <c r="P13" s="45">
        <f>SUMPRODUCT((Results!$J$2:$J$47=P$4&amp;$E13)+0,(Results!$L$2:$L$47))+SUMPRODUCT((Results!$J$2:$J$47=$E13&amp;P$4)+0,(Results!$L$2:$L$47))</f>
        <v>1</v>
      </c>
      <c r="Q13" s="46">
        <f>IF(ISERROR(IF(Q$4=$E13,0,INDEX(Results!$B$2:$N$47,MATCH('Dummy Standings'!$E13&amp;'Dummy Standings'!Q$4,Results!$J$2:$J$47,0),4)-INDEX(Results!$B$2:$N$47,MATCH('Dummy Standings'!$E13&amp;'Dummy Standings'!Q$4,Results!$J$2:$J$47,0),5))),0,IF(Q$4=$E13,0,INDEX(Results!$B$2:$N$47,MATCH('Dummy Standings'!$E13&amp;'Dummy Standings'!Q$4,Results!$J$2:$J$47,0),4)-INDEX(Results!$B$2:$N$47,MATCH('Dummy Standings'!$E13&amp;'Dummy Standings'!Q$4,Results!$J$2:$J$47,0),5)))</f>
        <v>0</v>
      </c>
      <c r="R13" s="45">
        <f t="shared" si="5"/>
        <v>0</v>
      </c>
      <c r="S13" s="45">
        <f>SUMPRODUCT((Results!$J$2:$J$47=S$4&amp;$E13)+0,(Results!$L$2:$L$47))+SUMPRODUCT((Results!$J$2:$J$47=$E13&amp;S$4)+0,(Results!$L$2:$L$47))</f>
        <v>0</v>
      </c>
      <c r="T13" s="46">
        <f>IF(ISERROR(IF(T$4=$E13,0,INDEX(Results!$B$2:$N$47,MATCH('Dummy Standings'!$E13&amp;'Dummy Standings'!T$4,Results!$J$2:$J$47,0),4)-INDEX(Results!$B$2:$N$47,MATCH('Dummy Standings'!$E13&amp;'Dummy Standings'!T$4,Results!$J$2:$J$47,0),5))),0,IF(T$4=$E13,0,INDEX(Results!$B$2:$N$47,MATCH('Dummy Standings'!$E13&amp;'Dummy Standings'!T$4,Results!$J$2:$J$47,0),4)-INDEX(Results!$B$2:$N$47,MATCH('Dummy Standings'!$E13&amp;'Dummy Standings'!T$4,Results!$J$2:$J$47,0),5)))</f>
        <v>0</v>
      </c>
      <c r="U13" s="45">
        <f t="shared" si="6"/>
        <v>0</v>
      </c>
      <c r="V13" s="45">
        <f>SUMPRODUCT((Results!$J$2:$J$47=V$4&amp;$E13)+0,(Results!$L$2:$L$47))+SUMPRODUCT((Results!$J$2:$J$47=$E13&amp;V$4)+0,(Results!$L$2:$L$47))</f>
        <v>1</v>
      </c>
      <c r="W13" s="46">
        <f>IF(ISERROR(IF(W$4=$E13,0,INDEX(Results!$B$2:$N$47,MATCH('Dummy Standings'!$E13&amp;'Dummy Standings'!W$4,Results!$J$2:$J$47,0),4)-INDEX(Results!$B$2:$N$47,MATCH('Dummy Standings'!$E13&amp;'Dummy Standings'!W$4,Results!$J$2:$J$47,0),5))),0,IF(W$4=$E13,0,INDEX(Results!$B$2:$N$47,MATCH('Dummy Standings'!$E13&amp;'Dummy Standings'!W$4,Results!$J$2:$J$47,0),4)-INDEX(Results!$B$2:$N$47,MATCH('Dummy Standings'!$E13&amp;'Dummy Standings'!W$4,Results!$J$2:$J$47,0),5)))</f>
        <v>0</v>
      </c>
      <c r="X13" s="45">
        <f t="shared" si="7"/>
        <v>0</v>
      </c>
      <c r="Y13" s="45">
        <f>SUMPRODUCT((Results!$J$2:$J$47=Y$4&amp;$E13)+0,(Results!$L$2:$L$47))+SUMPRODUCT((Results!$J$2:$J$47=$E13&amp;Y$4)+0,(Results!$L$2:$L$47))</f>
        <v>1</v>
      </c>
      <c r="Z13" s="46">
        <f>IF(ISERROR(IF(Z$4=$E13,0,INDEX(Results!$B$2:$N$47,MATCH('Dummy Standings'!$E13&amp;'Dummy Standings'!Z$4,Results!$J$2:$J$47,0),4)-INDEX(Results!$B$2:$N$47,MATCH('Dummy Standings'!$E13&amp;'Dummy Standings'!Z$4,Results!$J$2:$J$47,0),5))),0,IF(Z$4=$E13,0,INDEX(Results!$B$2:$N$47,MATCH('Dummy Standings'!$E13&amp;'Dummy Standings'!Z$4,Results!$J$2:$J$47,0),4)-INDEX(Results!$B$2:$N$47,MATCH('Dummy Standings'!$E13&amp;'Dummy Standings'!Z$4,Results!$J$2:$J$47,0),5)))</f>
        <v>-3</v>
      </c>
      <c r="AA13" s="45">
        <f t="shared" si="8"/>
        <v>0</v>
      </c>
      <c r="AB13" s="45">
        <f>SUMPRODUCT((Results!$J$2:$J$47=AB$4&amp;$E13)+0,(Results!$L$2:$L$47))+SUMPRODUCT((Results!$J$2:$J$47=$E13&amp;AB$4)+0,(Results!$L$2:$L$47))</f>
        <v>1</v>
      </c>
      <c r="AC13" s="46">
        <f>IF(ISERROR(IF(AC$4=$E13,0,INDEX(Results!$B$2:$N$47,MATCH('Dummy Standings'!$E13&amp;'Dummy Standings'!AC$4,Results!$J$2:$J$47,0),4)-INDEX(Results!$B$2:$N$47,MATCH('Dummy Standings'!$E13&amp;'Dummy Standings'!AC$4,Results!$J$2:$J$47,0),5))),0,IF(AC$4=$E13,0,INDEX(Results!$B$2:$N$47,MATCH('Dummy Standings'!$E13&amp;'Dummy Standings'!AC$4,Results!$J$2:$J$47,0),4)-INDEX(Results!$B$2:$N$47,MATCH('Dummy Standings'!$E13&amp;'Dummy Standings'!AC$4,Results!$J$2:$J$47,0),5)))</f>
        <v>0</v>
      </c>
      <c r="AD13" s="45">
        <f t="shared" si="9"/>
        <v>0</v>
      </c>
      <c r="AE13" s="45">
        <f>SUMPRODUCT((Results!$J$2:$J$47=AE$4&amp;$E13)+0,(Results!$L$2:$L$47))+SUMPRODUCT((Results!$J$2:$J$47=$E13&amp;AE$4)+0,(Results!$L$2:$L$47))</f>
        <v>1</v>
      </c>
      <c r="AF13" s="46">
        <f>IF(ISERROR(IF(AF$4=$E13,0,INDEX(Results!$B$2:$N$47,MATCH('Dummy Standings'!$E13&amp;'Dummy Standings'!AF$4,Results!$J$2:$J$47,0),4)-INDEX(Results!$B$2:$N$47,MATCH('Dummy Standings'!$E13&amp;'Dummy Standings'!AF$4,Results!$J$2:$J$47,0),5))),0,IF(AF$4=$E13,0,INDEX(Results!$B$2:$N$47,MATCH('Dummy Standings'!$E13&amp;'Dummy Standings'!AF$4,Results!$J$2:$J$47,0),4)-INDEX(Results!$B$2:$N$47,MATCH('Dummy Standings'!$E13&amp;'Dummy Standings'!AF$4,Results!$J$2:$J$47,0),5)))</f>
        <v>1</v>
      </c>
      <c r="AG13" s="45">
        <f t="shared" si="10"/>
        <v>0</v>
      </c>
      <c r="AH13" s="45">
        <f>SUMPRODUCT((Results!$J$2:$J$47=AH$4&amp;$E13)+0,(Results!$L$2:$L$47))+SUMPRODUCT((Results!$J$2:$J$47=$E13&amp;AH$4)+0,(Results!$L$2:$L$47))</f>
        <v>1</v>
      </c>
      <c r="AI13" s="46">
        <f>IF(ISERROR(IF(AI$4=$E13,0,INDEX(Results!$B$2:$N$47,MATCH('Dummy Standings'!$E13&amp;'Dummy Standings'!AI$4,Results!$J$2:$J$47,0),4)-INDEX(Results!$B$2:$N$47,MATCH('Dummy Standings'!$E13&amp;'Dummy Standings'!AI$4,Results!$J$2:$J$47,0),5))),0,IF(AI$4=$E13,0,INDEX(Results!$B$2:$N$47,MATCH('Dummy Standings'!$E13&amp;'Dummy Standings'!AI$4,Results!$J$2:$J$47,0),4)-INDEX(Results!$B$2:$N$47,MATCH('Dummy Standings'!$E13&amp;'Dummy Standings'!AI$4,Results!$J$2:$J$47,0),5)))</f>
        <v>3</v>
      </c>
      <c r="AJ13" s="95">
        <f t="shared" si="24"/>
        <v>1</v>
      </c>
      <c r="AK13" s="46">
        <f t="shared" si="25"/>
        <v>0</v>
      </c>
      <c r="AL13" s="46">
        <f t="shared" si="11"/>
        <v>7</v>
      </c>
      <c r="AM13" s="46">
        <f t="shared" si="12"/>
        <v>0</v>
      </c>
      <c r="AN13" s="46">
        <f t="shared" si="13"/>
        <v>0</v>
      </c>
      <c r="AO13" s="46">
        <f t="shared" si="14"/>
        <v>1</v>
      </c>
      <c r="AP13" s="46">
        <f t="shared" si="15"/>
        <v>0</v>
      </c>
      <c r="AQ13" s="46">
        <f t="shared" si="16"/>
        <v>0</v>
      </c>
      <c r="AR13" s="46">
        <f t="shared" si="17"/>
        <v>0</v>
      </c>
      <c r="AS13" s="45">
        <f t="shared" si="18"/>
        <v>9</v>
      </c>
      <c r="AT13" s="45">
        <f t="shared" si="19"/>
        <v>2</v>
      </c>
      <c r="AU13" s="45">
        <f t="shared" si="20"/>
        <v>7</v>
      </c>
      <c r="AV13" s="45">
        <f t="shared" si="21"/>
        <v>170</v>
      </c>
      <c r="AW13" s="45">
        <f t="shared" si="22"/>
        <v>279</v>
      </c>
      <c r="AX13" s="46">
        <f t="shared" si="23"/>
        <v>-109</v>
      </c>
      <c r="AY13" s="45">
        <f t="shared" si="26"/>
        <v>3</v>
      </c>
      <c r="AZ13" s="45">
        <f>SUMPRODUCT((Results!$C$3:$C$47='Dummy Standings'!$C13)*(Results!$E$3:$E$47&gt;Results!$F$3:$F$47))</f>
        <v>2</v>
      </c>
      <c r="BA13" s="45">
        <f>SUMPRODUCT((Results!$C$3:$C$47='Dummy Standings'!$C13)*(Results!$E$3:$E$47&lt;Results!$F$3:$F$47))</f>
        <v>1</v>
      </c>
      <c r="BB13" s="45">
        <f>SUMIF(Results!$C$3:$C$47,$C13,Results!$E$3:$E$47)</f>
        <v>57</v>
      </c>
      <c r="BC13" s="45">
        <f>SUMIF(Results!$C$3:$C$47,$C13,Results!$F$3:$F$47)</f>
        <v>56</v>
      </c>
      <c r="BD13" s="46">
        <f t="shared" si="27"/>
        <v>1</v>
      </c>
      <c r="BE13" s="45">
        <f t="shared" si="28"/>
        <v>6</v>
      </c>
      <c r="BF13" s="45">
        <f>SUMPRODUCT((Results!$H$3:$H$47='Dummy Standings'!$C13)*(Results!$F$3:$F$47&gt;Results!$E$3:$E$47))</f>
        <v>0</v>
      </c>
      <c r="BG13" s="45">
        <f>SUMPRODUCT((Results!$H$3:$H$47='Dummy Standings'!$C13)*(Results!$F$3:$F$47&lt;Results!$E$3:$E$47))</f>
        <v>6</v>
      </c>
      <c r="BH13" s="45">
        <f>SUMIF(Results!$H$3:$H$47,$C13,Results!$F$3:$F$47)</f>
        <v>113</v>
      </c>
      <c r="BI13" s="45">
        <f>SUMIF(Results!$H$3:$H$47,$C13,Results!$E$3:$E$47)</f>
        <v>223</v>
      </c>
      <c r="BJ13" s="46">
        <f t="shared" si="29"/>
        <v>-110</v>
      </c>
      <c r="BK13" s="46">
        <f>INDEX(Teams!$B$5:$F$37,MATCH('Dummy Standings'!$E13,Teams!$E$5:$E$37,0),5)</f>
        <v>9</v>
      </c>
    </row>
    <row r="14" spans="2:63" ht="13.5" thickBot="1">
      <c r="B14" s="47">
        <f t="shared" si="0"/>
        <v>2</v>
      </c>
      <c r="C14" s="101" t="str">
        <f>Teams!B15</f>
        <v>University of Utica</v>
      </c>
      <c r="D14" s="66" t="str">
        <f>INDEX(Teams!$B$5:$D$37,MATCH('Dummy Standings'!$C14,Teams!$B$5:$B$37,0),COLUMN()-1)</f>
        <v>NSCF</v>
      </c>
      <c r="E14" s="100" t="str">
        <f>INDEX(Teams!$B$5:$F$37,MATCH('Dummy Standings'!$C14,Teams!$B$5:$B$37,0),COLUMN()-1)</f>
        <v>UTC</v>
      </c>
      <c r="F14" s="47">
        <f t="shared" si="1"/>
        <v>0</v>
      </c>
      <c r="G14" s="48">
        <f>SUMPRODUCT((Results!$J$2:$J$47=G$4&amp;$E14)+0,(Results!$L$2:$L$47))+SUMPRODUCT((Results!$J$2:$J$47=$E14&amp;G$4)+0,(Results!$L$2:$L$47))</f>
        <v>1</v>
      </c>
      <c r="H14" s="66">
        <f>IF(ISERROR(IF(H$4=$E14,0,INDEX(Results!$B$2:$N$47,MATCH('Dummy Standings'!$E14&amp;'Dummy Standings'!H$4,Results!$J$2:$J$47,0),4)-INDEX(Results!$B$2:$N$47,MATCH('Dummy Standings'!$E14&amp;'Dummy Standings'!H$4,Results!$J$2:$J$47,0),5))),0,IF(H$4=$E14,0,INDEX(Results!$B$2:$N$47,MATCH('Dummy Standings'!$E14&amp;'Dummy Standings'!H$4,Results!$J$2:$J$47,0),4)-INDEX(Results!$B$2:$N$47,MATCH('Dummy Standings'!$E14&amp;'Dummy Standings'!H$4,Results!$J$2:$J$47,0),5)))</f>
        <v>9</v>
      </c>
      <c r="I14" s="48">
        <f t="shared" si="2"/>
        <v>0</v>
      </c>
      <c r="J14" s="48">
        <f>SUMPRODUCT((Results!$J$2:$J$47=J$4&amp;$E14)+0,(Results!$L$2:$L$47))+SUMPRODUCT((Results!$J$2:$J$47=$E14&amp;J$4)+0,(Results!$L$2:$L$47))</f>
        <v>1</v>
      </c>
      <c r="K14" s="66">
        <f>IF(ISERROR(IF(K$4=$E14,0,INDEX(Results!$B$2:$N$47,MATCH('Dummy Standings'!$E14&amp;'Dummy Standings'!K$4,Results!$J$2:$J$47,0),4)-INDEX(Results!$B$2:$N$47,MATCH('Dummy Standings'!$E14&amp;'Dummy Standings'!K$4,Results!$J$2:$J$47,0),5))),0,IF(K$4=$E14,0,INDEX(Results!$B$2:$N$47,MATCH('Dummy Standings'!$E14&amp;'Dummy Standings'!K$4,Results!$J$2:$J$47,0),4)-INDEX(Results!$B$2:$N$47,MATCH('Dummy Standings'!$E14&amp;'Dummy Standings'!K$4,Results!$J$2:$J$47,0),5)))</f>
        <v>14</v>
      </c>
      <c r="L14" s="48">
        <f t="shared" si="3"/>
        <v>0</v>
      </c>
      <c r="M14" s="48">
        <f>SUMPRODUCT((Results!$J$2:$J$47=M$4&amp;$E14)+0,(Results!$L$2:$L$47))+SUMPRODUCT((Results!$J$2:$J$47=$E14&amp;M$4)+0,(Results!$L$2:$L$47))</f>
        <v>1</v>
      </c>
      <c r="N14" s="66">
        <f>IF(ISERROR(IF(N$4=$E14,0,INDEX(Results!$B$2:$N$47,MATCH('Dummy Standings'!$E14&amp;'Dummy Standings'!N$4,Results!$J$2:$J$47,0),4)-INDEX(Results!$B$2:$N$47,MATCH('Dummy Standings'!$E14&amp;'Dummy Standings'!N$4,Results!$J$2:$J$47,0),5))),0,IF(N$4=$E14,0,INDEX(Results!$B$2:$N$47,MATCH('Dummy Standings'!$E14&amp;'Dummy Standings'!N$4,Results!$J$2:$J$47,0),4)-INDEX(Results!$B$2:$N$47,MATCH('Dummy Standings'!$E14&amp;'Dummy Standings'!N$4,Results!$J$2:$J$47,0),5)))</f>
        <v>0</v>
      </c>
      <c r="O14" s="48">
        <f t="shared" si="4"/>
        <v>0</v>
      </c>
      <c r="P14" s="48">
        <f>SUMPRODUCT((Results!$J$2:$J$47=P$4&amp;$E14)+0,(Results!$L$2:$L$47))+SUMPRODUCT((Results!$J$2:$J$47=$E14&amp;P$4)+0,(Results!$L$2:$L$47))</f>
        <v>0</v>
      </c>
      <c r="Q14" s="66">
        <f>IF(ISERROR(IF(Q$4=$E14,0,INDEX(Results!$B$2:$N$47,MATCH('Dummy Standings'!$E14&amp;'Dummy Standings'!Q$4,Results!$J$2:$J$47,0),4)-INDEX(Results!$B$2:$N$47,MATCH('Dummy Standings'!$E14&amp;'Dummy Standings'!Q$4,Results!$J$2:$J$47,0),5))),0,IF(Q$4=$E14,0,INDEX(Results!$B$2:$N$47,MATCH('Dummy Standings'!$E14&amp;'Dummy Standings'!Q$4,Results!$J$2:$J$47,0),4)-INDEX(Results!$B$2:$N$47,MATCH('Dummy Standings'!$E14&amp;'Dummy Standings'!Q$4,Results!$J$2:$J$47,0),5)))</f>
        <v>0</v>
      </c>
      <c r="R14" s="48">
        <f t="shared" si="5"/>
        <v>0</v>
      </c>
      <c r="S14" s="48">
        <f>SUMPRODUCT((Results!$J$2:$J$47=S$4&amp;$E14)+0,(Results!$L$2:$L$47))+SUMPRODUCT((Results!$J$2:$J$47=$E14&amp;S$4)+0,(Results!$L$2:$L$47))</f>
        <v>1</v>
      </c>
      <c r="T14" s="66">
        <f>IF(ISERROR(IF(T$4=$E14,0,INDEX(Results!$B$2:$N$47,MATCH('Dummy Standings'!$E14&amp;'Dummy Standings'!T$4,Results!$J$2:$J$47,0),4)-INDEX(Results!$B$2:$N$47,MATCH('Dummy Standings'!$E14&amp;'Dummy Standings'!T$4,Results!$J$2:$J$47,0),5))),0,IF(T$4=$E14,0,INDEX(Results!$B$2:$N$47,MATCH('Dummy Standings'!$E14&amp;'Dummy Standings'!T$4,Results!$J$2:$J$47,0),4)-INDEX(Results!$B$2:$N$47,MATCH('Dummy Standings'!$E14&amp;'Dummy Standings'!T$4,Results!$J$2:$J$47,0),5)))</f>
        <v>21</v>
      </c>
      <c r="U14" s="48">
        <f t="shared" si="6"/>
        <v>0</v>
      </c>
      <c r="V14" s="48">
        <f>SUMPRODUCT((Results!$J$2:$J$47=V$4&amp;$E14)+0,(Results!$L$2:$L$47))+SUMPRODUCT((Results!$J$2:$J$47=$E14&amp;V$4)+0,(Results!$L$2:$L$47))</f>
        <v>1</v>
      </c>
      <c r="W14" s="66">
        <f>IF(ISERROR(IF(W$4=$E14,0,INDEX(Results!$B$2:$N$47,MATCH('Dummy Standings'!$E14&amp;'Dummy Standings'!W$4,Results!$J$2:$J$47,0),4)-INDEX(Results!$B$2:$N$47,MATCH('Dummy Standings'!$E14&amp;'Dummy Standings'!W$4,Results!$J$2:$J$47,0),5))),0,IF(W$4=$E14,0,INDEX(Results!$B$2:$N$47,MATCH('Dummy Standings'!$E14&amp;'Dummy Standings'!W$4,Results!$J$2:$J$47,0),4)-INDEX(Results!$B$2:$N$47,MATCH('Dummy Standings'!$E14&amp;'Dummy Standings'!W$4,Results!$J$2:$J$47,0),5)))</f>
        <v>19</v>
      </c>
      <c r="X14" s="48">
        <f t="shared" si="7"/>
        <v>0</v>
      </c>
      <c r="Y14" s="48">
        <f>SUMPRODUCT((Results!$J$2:$J$47=Y$4&amp;$E14)+0,(Results!$L$2:$L$47))+SUMPRODUCT((Results!$J$2:$J$47=$E14&amp;Y$4)+0,(Results!$L$2:$L$47))</f>
        <v>1</v>
      </c>
      <c r="Z14" s="66">
        <f>IF(ISERROR(IF(Z$4=$E14,0,INDEX(Results!$B$2:$N$47,MATCH('Dummy Standings'!$E14&amp;'Dummy Standings'!Z$4,Results!$J$2:$J$47,0),4)-INDEX(Results!$B$2:$N$47,MATCH('Dummy Standings'!$E14&amp;'Dummy Standings'!Z$4,Results!$J$2:$J$47,0),5))),0,IF(Z$4=$E14,0,INDEX(Results!$B$2:$N$47,MATCH('Dummy Standings'!$E14&amp;'Dummy Standings'!Z$4,Results!$J$2:$J$47,0),4)-INDEX(Results!$B$2:$N$47,MATCH('Dummy Standings'!$E14&amp;'Dummy Standings'!Z$4,Results!$J$2:$J$47,0),5)))</f>
        <v>0</v>
      </c>
      <c r="AA14" s="48">
        <f t="shared" si="8"/>
        <v>0</v>
      </c>
      <c r="AB14" s="48">
        <f>SUMPRODUCT((Results!$J$2:$J$47=AB$4&amp;$E14)+0,(Results!$L$2:$L$47))+SUMPRODUCT((Results!$J$2:$J$47=$E14&amp;AB$4)+0,(Results!$L$2:$L$47))</f>
        <v>1</v>
      </c>
      <c r="AC14" s="66">
        <f>IF(ISERROR(IF(AC$4=$E14,0,INDEX(Results!$B$2:$N$47,MATCH('Dummy Standings'!$E14&amp;'Dummy Standings'!AC$4,Results!$J$2:$J$47,0),4)-INDEX(Results!$B$2:$N$47,MATCH('Dummy Standings'!$E14&amp;'Dummy Standings'!AC$4,Results!$J$2:$J$47,0),5))),0,IF(AC$4=$E14,0,INDEX(Results!$B$2:$N$47,MATCH('Dummy Standings'!$E14&amp;'Dummy Standings'!AC$4,Results!$J$2:$J$47,0),4)-INDEX(Results!$B$2:$N$47,MATCH('Dummy Standings'!$E14&amp;'Dummy Standings'!AC$4,Results!$J$2:$J$47,0),5)))</f>
        <v>0</v>
      </c>
      <c r="AD14" s="48">
        <f t="shared" si="9"/>
        <v>0</v>
      </c>
      <c r="AE14" s="48">
        <f>SUMPRODUCT((Results!$J$2:$J$47=AE$4&amp;$E14)+0,(Results!$L$2:$L$47))+SUMPRODUCT((Results!$J$2:$J$47=$E14&amp;AE$4)+0,(Results!$L$2:$L$47))</f>
        <v>1</v>
      </c>
      <c r="AF14" s="66">
        <f>IF(ISERROR(IF(AF$4=$E14,0,INDEX(Results!$B$2:$N$47,MATCH('Dummy Standings'!$E14&amp;'Dummy Standings'!AF$4,Results!$J$2:$J$47,0),4)-INDEX(Results!$B$2:$N$47,MATCH('Dummy Standings'!$E14&amp;'Dummy Standings'!AF$4,Results!$J$2:$J$47,0),5))),0,IF(AF$4=$E14,0,INDEX(Results!$B$2:$N$47,MATCH('Dummy Standings'!$E14&amp;'Dummy Standings'!AF$4,Results!$J$2:$J$47,0),4)-INDEX(Results!$B$2:$N$47,MATCH('Dummy Standings'!$E14&amp;'Dummy Standings'!AF$4,Results!$J$2:$J$47,0),5)))</f>
        <v>7</v>
      </c>
      <c r="AG14" s="48">
        <f t="shared" si="10"/>
        <v>0</v>
      </c>
      <c r="AH14" s="48">
        <f>SUMPRODUCT((Results!$J$2:$J$47=AH$4&amp;$E14)+0,(Results!$L$2:$L$47))+SUMPRODUCT((Results!$J$2:$J$47=$E14&amp;AH$4)+0,(Results!$L$2:$L$47))</f>
        <v>1</v>
      </c>
      <c r="AI14" s="66">
        <f>IF(ISERROR(IF(AI$4=$E14,0,INDEX(Results!$B$2:$N$47,MATCH('Dummy Standings'!$E14&amp;'Dummy Standings'!AI$4,Results!$J$2:$J$47,0),4)-INDEX(Results!$B$2:$N$47,MATCH('Dummy Standings'!$E14&amp;'Dummy Standings'!AI$4,Results!$J$2:$J$47,0),5))),0,IF(AI$4=$E14,0,INDEX(Results!$B$2:$N$47,MATCH('Dummy Standings'!$E14&amp;'Dummy Standings'!AI$4,Results!$J$2:$J$47,0),4)-INDEX(Results!$B$2:$N$47,MATCH('Dummy Standings'!$E14&amp;'Dummy Standings'!AI$4,Results!$J$2:$J$47,0),5)))</f>
        <v>0</v>
      </c>
      <c r="AJ14" s="96">
        <f t="shared" si="24"/>
        <v>0</v>
      </c>
      <c r="AK14" s="66">
        <f t="shared" si="25"/>
        <v>0</v>
      </c>
      <c r="AL14" s="66">
        <f t="shared" si="11"/>
        <v>2</v>
      </c>
      <c r="AM14" s="66">
        <f t="shared" si="12"/>
        <v>0</v>
      </c>
      <c r="AN14" s="66">
        <f t="shared" si="13"/>
        <v>0</v>
      </c>
      <c r="AO14" s="66">
        <f t="shared" si="14"/>
        <v>0</v>
      </c>
      <c r="AP14" s="66">
        <f t="shared" si="15"/>
        <v>0</v>
      </c>
      <c r="AQ14" s="66">
        <f t="shared" si="16"/>
        <v>0</v>
      </c>
      <c r="AR14" s="66">
        <f t="shared" si="17"/>
        <v>0</v>
      </c>
      <c r="AS14" s="48">
        <f t="shared" si="18"/>
        <v>9</v>
      </c>
      <c r="AT14" s="48">
        <f t="shared" si="19"/>
        <v>8</v>
      </c>
      <c r="AU14" s="48">
        <f t="shared" si="20"/>
        <v>1</v>
      </c>
      <c r="AV14" s="48">
        <f t="shared" si="21"/>
        <v>253</v>
      </c>
      <c r="AW14" s="48">
        <f t="shared" si="22"/>
        <v>158</v>
      </c>
      <c r="AX14" s="66">
        <f t="shared" si="23"/>
        <v>95</v>
      </c>
      <c r="AY14" s="48">
        <f t="shared" si="26"/>
        <v>5</v>
      </c>
      <c r="AZ14" s="48">
        <f>SUMPRODUCT((Results!$C$3:$C$47='Dummy Standings'!$C14)*(Results!$E$3:$E$47&gt;Results!$F$3:$F$47))</f>
        <v>5</v>
      </c>
      <c r="BA14" s="48">
        <f>SUMPRODUCT((Results!$C$3:$C$47='Dummy Standings'!$C14)*(Results!$E$3:$E$47&lt;Results!$F$3:$F$47))</f>
        <v>0</v>
      </c>
      <c r="BB14" s="48">
        <f>SUMIF(Results!$C$3:$C$47,$C14,Results!$E$3:$E$47)</f>
        <v>161</v>
      </c>
      <c r="BC14" s="48">
        <f>SUMIF(Results!$C$3:$C$47,$C14,Results!$F$3:$F$47)</f>
        <v>91</v>
      </c>
      <c r="BD14" s="66">
        <f t="shared" si="27"/>
        <v>70</v>
      </c>
      <c r="BE14" s="48">
        <f t="shared" si="28"/>
        <v>4</v>
      </c>
      <c r="BF14" s="48">
        <f>SUMPRODUCT((Results!$H$3:$H$47='Dummy Standings'!$C14)*(Results!$F$3:$F$47&gt;Results!$E$3:$E$47))</f>
        <v>3</v>
      </c>
      <c r="BG14" s="48">
        <f>SUMPRODUCT((Results!$H$3:$H$47='Dummy Standings'!$C14)*(Results!$F$3:$F$47&lt;Results!$E$3:$E$47))</f>
        <v>1</v>
      </c>
      <c r="BH14" s="48">
        <f>SUMIF(Results!$H$3:$H$47,$C14,Results!$F$3:$F$47)</f>
        <v>92</v>
      </c>
      <c r="BI14" s="48">
        <f>SUMIF(Results!$H$3:$H$47,$C14,Results!$E$3:$E$47)</f>
        <v>67</v>
      </c>
      <c r="BJ14" s="66">
        <f t="shared" si="29"/>
        <v>25</v>
      </c>
      <c r="BK14" s="66">
        <f>INDEX(Teams!$B$5:$F$37,MATCH('Dummy Standings'!$E14,Teams!$E$5:$E$37,0),5)</f>
        <v>10</v>
      </c>
    </row>
    <row r="15" spans="2:63" ht="12.75">
      <c r="B15" s="78"/>
      <c r="C15" s="78"/>
      <c r="D15" s="78"/>
      <c r="E15" s="79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</row>
    <row r="16" spans="2:63" ht="12.75">
      <c r="B16" s="78"/>
      <c r="C16" s="78"/>
      <c r="D16" s="78"/>
      <c r="E16" s="79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</row>
    <row r="17" s="78" customFormat="1" ht="12.75">
      <c r="E17" s="79"/>
    </row>
    <row r="18" s="78" customFormat="1" ht="12.75">
      <c r="E18" s="79"/>
    </row>
    <row r="19" s="78" customFormat="1" ht="12.75">
      <c r="E19" s="79"/>
    </row>
    <row r="20" s="78" customFormat="1" ht="12.75">
      <c r="E20" s="79"/>
    </row>
    <row r="21" s="78" customFormat="1" ht="12.75">
      <c r="E21" s="79"/>
    </row>
    <row r="22" s="78" customFormat="1" ht="12.75">
      <c r="E22" s="79"/>
    </row>
    <row r="23" s="78" customFormat="1" ht="12.75">
      <c r="E23" s="79"/>
    </row>
    <row r="24" s="78" customFormat="1" ht="12.75">
      <c r="E24" s="79"/>
    </row>
    <row r="25" s="78" customFormat="1" ht="12.75">
      <c r="E25" s="79"/>
    </row>
    <row r="26" s="78" customFormat="1" ht="12.75">
      <c r="E26" s="79"/>
    </row>
    <row r="27" s="78" customFormat="1" ht="12.75">
      <c r="E27" s="79"/>
    </row>
    <row r="28" s="78" customFormat="1" ht="12.75">
      <c r="E28" s="79"/>
    </row>
    <row r="29" s="78" customFormat="1" ht="12.75">
      <c r="E29" s="79"/>
    </row>
    <row r="30" s="78" customFormat="1" ht="12.75">
      <c r="E30" s="79"/>
    </row>
    <row r="31" s="78" customFormat="1" ht="12.75">
      <c r="E31" s="79"/>
    </row>
    <row r="32" s="78" customFormat="1" ht="12.75">
      <c r="E32" s="79"/>
    </row>
    <row r="33" s="78" customFormat="1" ht="12.75">
      <c r="E33" s="79"/>
    </row>
    <row r="34" s="78" customFormat="1" ht="12.75">
      <c r="E34" s="79"/>
    </row>
    <row r="35" s="78" customFormat="1" ht="12.75">
      <c r="E35" s="79"/>
    </row>
    <row r="36" s="78" customFormat="1" ht="12.75">
      <c r="E36" s="79"/>
    </row>
    <row r="37" s="78" customFormat="1" ht="12.75">
      <c r="E37" s="79"/>
    </row>
    <row r="38" s="78" customFormat="1" ht="12.75">
      <c r="E38" s="79"/>
    </row>
    <row r="39" s="78" customFormat="1" ht="12.75">
      <c r="E39" s="79"/>
    </row>
    <row r="40" s="78" customFormat="1" ht="12.75">
      <c r="E40" s="79"/>
    </row>
    <row r="41" s="78" customFormat="1" ht="12.75">
      <c r="E41" s="79"/>
    </row>
    <row r="42" s="78" customFormat="1" ht="12.75">
      <c r="E42" s="79"/>
    </row>
    <row r="43" s="78" customFormat="1" ht="12.75">
      <c r="E43" s="79"/>
    </row>
    <row r="44" s="78" customFormat="1" ht="12.75">
      <c r="E44" s="79"/>
    </row>
    <row r="45" s="78" customFormat="1" ht="12.75">
      <c r="E45" s="79"/>
    </row>
    <row r="46" s="78" customFormat="1" ht="12.75">
      <c r="E46" s="79"/>
    </row>
    <row r="47" s="78" customFormat="1" ht="12.75">
      <c r="E47" s="79"/>
    </row>
    <row r="48" s="78" customFormat="1" ht="12.75">
      <c r="E48" s="79"/>
    </row>
    <row r="49" s="78" customFormat="1" ht="12.75">
      <c r="E49" s="79"/>
    </row>
    <row r="50" s="78" customFormat="1" ht="12.75">
      <c r="E50" s="79"/>
    </row>
  </sheetData>
  <sheetProtection/>
  <mergeCells count="18">
    <mergeCell ref="BK2:BK3"/>
    <mergeCell ref="B2:B3"/>
    <mergeCell ref="D2:D3"/>
    <mergeCell ref="AY2:BD2"/>
    <mergeCell ref="AM2:AM3"/>
    <mergeCell ref="AJ2:AJ3"/>
    <mergeCell ref="F2:AI2"/>
    <mergeCell ref="BE2:BJ2"/>
    <mergeCell ref="AS2:AX2"/>
    <mergeCell ref="C2:C3"/>
    <mergeCell ref="E2:E3"/>
    <mergeCell ref="AK2:AK3"/>
    <mergeCell ref="AR2:AR3"/>
    <mergeCell ref="AN2:AN3"/>
    <mergeCell ref="AQ2:AQ3"/>
    <mergeCell ref="AP2:AP3"/>
    <mergeCell ref="AO2:AO3"/>
    <mergeCell ref="AL2:A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8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0" sqref="F20"/>
    </sheetView>
  </sheetViews>
  <sheetFormatPr defaultColWidth="9.140625" defaultRowHeight="12.75"/>
  <cols>
    <col min="1" max="1" width="1.421875" style="84" customWidth="1"/>
    <col min="2" max="2" width="4.28125" style="2" customWidth="1"/>
    <col min="3" max="3" width="26.00390625" style="2" bestFit="1" customWidth="1"/>
    <col min="4" max="4" width="5.57421875" style="2" hidden="1" customWidth="1"/>
    <col min="5" max="5" width="11.28125" style="2" bestFit="1" customWidth="1"/>
    <col min="6" max="23" width="5.140625" style="2" customWidth="1"/>
    <col min="24" max="24" width="9.140625" style="84" customWidth="1"/>
    <col min="25" max="16384" width="9.140625" style="2" customWidth="1"/>
  </cols>
  <sheetData>
    <row r="1" spans="2:23" ht="7.5" customHeight="1" thickBo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2:23" ht="11.25">
      <c r="B2" s="183" t="s">
        <v>10</v>
      </c>
      <c r="C2" s="181" t="s">
        <v>9</v>
      </c>
      <c r="D2" s="181" t="s">
        <v>26</v>
      </c>
      <c r="E2" s="179" t="s">
        <v>18</v>
      </c>
      <c r="F2" s="185" t="s">
        <v>27</v>
      </c>
      <c r="G2" s="186"/>
      <c r="H2" s="186"/>
      <c r="I2" s="186"/>
      <c r="J2" s="186"/>
      <c r="K2" s="187"/>
      <c r="L2" s="177" t="s">
        <v>7</v>
      </c>
      <c r="M2" s="177"/>
      <c r="N2" s="177"/>
      <c r="O2" s="177"/>
      <c r="P2" s="177"/>
      <c r="Q2" s="178"/>
      <c r="R2" s="177" t="s">
        <v>6</v>
      </c>
      <c r="S2" s="177"/>
      <c r="T2" s="177"/>
      <c r="U2" s="177"/>
      <c r="V2" s="177"/>
      <c r="W2" s="178"/>
    </row>
    <row r="3" spans="2:23" ht="12" thickBot="1">
      <c r="B3" s="184"/>
      <c r="C3" s="182"/>
      <c r="D3" s="182"/>
      <c r="E3" s="180"/>
      <c r="F3" s="4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5" t="s">
        <v>8</v>
      </c>
      <c r="L3" s="20" t="s">
        <v>1</v>
      </c>
      <c r="M3" s="20" t="s">
        <v>2</v>
      </c>
      <c r="N3" s="20" t="s">
        <v>3</v>
      </c>
      <c r="O3" s="20" t="s">
        <v>4</v>
      </c>
      <c r="P3" s="20" t="s">
        <v>5</v>
      </c>
      <c r="Q3" s="21" t="s">
        <v>8</v>
      </c>
      <c r="R3" s="20" t="s">
        <v>1</v>
      </c>
      <c r="S3" s="20" t="s">
        <v>2</v>
      </c>
      <c r="T3" s="20" t="s">
        <v>3</v>
      </c>
      <c r="U3" s="20" t="s">
        <v>4</v>
      </c>
      <c r="V3" s="20" t="s">
        <v>5</v>
      </c>
      <c r="W3" s="21" t="s">
        <v>8</v>
      </c>
    </row>
    <row r="4" spans="2:23" ht="11.25">
      <c r="B4" s="68">
        <v>1</v>
      </c>
      <c r="C4" s="69" t="str">
        <f>VLOOKUP(Standings!$B4,'Dummy Standings'!$B$5:$BJ$14,2,FALSE)</f>
        <v>University of Arkinesia</v>
      </c>
      <c r="D4" s="69" t="e">
        <f>1+SUMPRODUCT(($E$4:$E$35=$E4)*($B$4:$B$35&lt;$B4))</f>
        <v>#N/A</v>
      </c>
      <c r="E4" s="102" t="str">
        <f>VLOOKUP(Standings!$B4,'Dummy Standings'!$B$5:$BJ$14,3,FALSE)</f>
        <v>NSCF</v>
      </c>
      <c r="F4" s="6">
        <f>VLOOKUP(Standings!$B4,'Dummy Standings'!$B$5:$BJ$14,COLUMN()+38,FALSE)</f>
        <v>9</v>
      </c>
      <c r="G4" s="17">
        <f>VLOOKUP(Standings!$B4,'Dummy Standings'!$B$5:$BJ$14,COLUMN()+38,FALSE)</f>
        <v>9</v>
      </c>
      <c r="H4" s="17">
        <f>VLOOKUP(Standings!$B4,'Dummy Standings'!$B$5:$BJ$14,COLUMN()+38,FALSE)</f>
        <v>0</v>
      </c>
      <c r="I4" s="17">
        <f>VLOOKUP(Standings!$B4,'Dummy Standings'!$B$5:$BJ$14,COLUMN()+38,FALSE)</f>
        <v>208</v>
      </c>
      <c r="J4" s="17">
        <f>VLOOKUP(Standings!$B4,'Dummy Standings'!$B$5:$BJ$14,COLUMN()+38,FALSE)</f>
        <v>90</v>
      </c>
      <c r="K4" s="7">
        <f>VLOOKUP(Standings!$B4,'Dummy Standings'!$B$5:$BJ$14,COLUMN()+38,FALSE)</f>
        <v>118</v>
      </c>
      <c r="L4" s="18">
        <f>VLOOKUP(Standings!$B4,'Dummy Standings'!$B$5:$BJ$14,COLUMN()+38,FALSE)</f>
        <v>5</v>
      </c>
      <c r="M4" s="18">
        <f>VLOOKUP(Standings!$B4,'Dummy Standings'!$B$5:$BJ$14,COLUMN()+38,FALSE)</f>
        <v>5</v>
      </c>
      <c r="N4" s="18">
        <f>VLOOKUP(Standings!$B4,'Dummy Standings'!$B$5:$BJ$14,COLUMN()+38,FALSE)</f>
        <v>0</v>
      </c>
      <c r="O4" s="18">
        <f>VLOOKUP(Standings!$B4,'Dummy Standings'!$B$5:$BJ$14,COLUMN()+38,FALSE)</f>
        <v>128</v>
      </c>
      <c r="P4" s="18">
        <f>VLOOKUP(Standings!$B4,'Dummy Standings'!$B$5:$BJ$14,COLUMN()+38,FALSE)</f>
        <v>40</v>
      </c>
      <c r="Q4" s="19">
        <f>VLOOKUP(Standings!$B4,'Dummy Standings'!$B$5:$BJ$14,COLUMN()+38,FALSE)</f>
        <v>88</v>
      </c>
      <c r="R4" s="18">
        <f>VLOOKUP(Standings!$B4,'Dummy Standings'!$B$5:$BJ$14,COLUMN()+38,FALSE)</f>
        <v>4</v>
      </c>
      <c r="S4" s="18">
        <f>VLOOKUP(Standings!$B4,'Dummy Standings'!$B$5:$BJ$14,COLUMN()+38,FALSE)</f>
        <v>4</v>
      </c>
      <c r="T4" s="18">
        <f>VLOOKUP(Standings!$B4,'Dummy Standings'!$B$5:$BJ$14,COLUMN()+38,FALSE)</f>
        <v>0</v>
      </c>
      <c r="U4" s="18">
        <f>VLOOKUP(Standings!$B4,'Dummy Standings'!$B$5:$BJ$14,COLUMN()+38,FALSE)</f>
        <v>80</v>
      </c>
      <c r="V4" s="18">
        <f>VLOOKUP(Standings!$B4,'Dummy Standings'!$B$5:$BJ$14,COLUMN()+38,FALSE)</f>
        <v>50</v>
      </c>
      <c r="W4" s="19">
        <f>VLOOKUP(Standings!$B4,'Dummy Standings'!$B$5:$BJ$14,COLUMN()+38,FALSE)</f>
        <v>30</v>
      </c>
    </row>
    <row r="5" spans="2:23" ht="11.25">
      <c r="B5" s="23">
        <v>2</v>
      </c>
      <c r="C5" s="70" t="str">
        <f>VLOOKUP(Standings!$B5,'Dummy Standings'!$B$5:$BJ$14,2,FALSE)</f>
        <v>University of Utica</v>
      </c>
      <c r="D5" s="70" t="e">
        <f aca="true" t="shared" si="0" ref="D5:D35">1+SUMPRODUCT(($E$4:$E$35=$E5)*($B$4:$B$35&lt;$B5))</f>
        <v>#N/A</v>
      </c>
      <c r="E5" s="103" t="str">
        <f>VLOOKUP(Standings!$B5,'Dummy Standings'!$B$5:$BJ$14,3,FALSE)</f>
        <v>NSCF</v>
      </c>
      <c r="F5" s="6">
        <f>VLOOKUP(Standings!$B5,'Dummy Standings'!$B$5:$BJ$14,COLUMN()+38,FALSE)</f>
        <v>9</v>
      </c>
      <c r="G5" s="17">
        <f>VLOOKUP(Standings!$B5,'Dummy Standings'!$B$5:$BJ$14,COLUMN()+38,FALSE)</f>
        <v>8</v>
      </c>
      <c r="H5" s="17">
        <f>VLOOKUP(Standings!$B5,'Dummy Standings'!$B$5:$BJ$14,COLUMN()+38,FALSE)</f>
        <v>1</v>
      </c>
      <c r="I5" s="17">
        <f>VLOOKUP(Standings!$B5,'Dummy Standings'!$B$5:$BJ$14,COLUMN()+38,FALSE)</f>
        <v>253</v>
      </c>
      <c r="J5" s="17">
        <f>VLOOKUP(Standings!$B5,'Dummy Standings'!$B$5:$BJ$14,COLUMN()+38,FALSE)</f>
        <v>158</v>
      </c>
      <c r="K5" s="7">
        <f>VLOOKUP(Standings!$B5,'Dummy Standings'!$B$5:$BJ$14,COLUMN()+38,FALSE)</f>
        <v>95</v>
      </c>
      <c r="L5" s="18">
        <f>VLOOKUP(Standings!$B5,'Dummy Standings'!$B$5:$BJ$14,COLUMN()+38,FALSE)</f>
        <v>5</v>
      </c>
      <c r="M5" s="18">
        <f>VLOOKUP(Standings!$B5,'Dummy Standings'!$B$5:$BJ$14,COLUMN()+38,FALSE)</f>
        <v>5</v>
      </c>
      <c r="N5" s="18">
        <f>VLOOKUP(Standings!$B5,'Dummy Standings'!$B$5:$BJ$14,COLUMN()+38,FALSE)</f>
        <v>0</v>
      </c>
      <c r="O5" s="18">
        <f>VLOOKUP(Standings!$B5,'Dummy Standings'!$B$5:$BJ$14,COLUMN()+38,FALSE)</f>
        <v>161</v>
      </c>
      <c r="P5" s="18">
        <f>VLOOKUP(Standings!$B5,'Dummy Standings'!$B$5:$BJ$14,COLUMN()+38,FALSE)</f>
        <v>91</v>
      </c>
      <c r="Q5" s="19">
        <f>VLOOKUP(Standings!$B5,'Dummy Standings'!$B$5:$BJ$14,COLUMN()+38,FALSE)</f>
        <v>70</v>
      </c>
      <c r="R5" s="18">
        <f>VLOOKUP(Standings!$B5,'Dummy Standings'!$B$5:$BJ$14,COLUMN()+38,FALSE)</f>
        <v>4</v>
      </c>
      <c r="S5" s="18">
        <f>VLOOKUP(Standings!$B5,'Dummy Standings'!$B$5:$BJ$14,COLUMN()+38,FALSE)</f>
        <v>3</v>
      </c>
      <c r="T5" s="18">
        <f>VLOOKUP(Standings!$B5,'Dummy Standings'!$B$5:$BJ$14,COLUMN()+38,FALSE)</f>
        <v>1</v>
      </c>
      <c r="U5" s="18">
        <f>VLOOKUP(Standings!$B5,'Dummy Standings'!$B$5:$BJ$14,COLUMN()+38,FALSE)</f>
        <v>92</v>
      </c>
      <c r="V5" s="18">
        <f>VLOOKUP(Standings!$B5,'Dummy Standings'!$B$5:$BJ$14,COLUMN()+38,FALSE)</f>
        <v>67</v>
      </c>
      <c r="W5" s="19">
        <f>VLOOKUP(Standings!$B5,'Dummy Standings'!$B$5:$BJ$14,COLUMN()+38,FALSE)</f>
        <v>25</v>
      </c>
    </row>
    <row r="6" spans="2:23" ht="11.25">
      <c r="B6" s="23">
        <v>3</v>
      </c>
      <c r="C6" s="70" t="str">
        <f>VLOOKUP(Standings!$B6,'Dummy Standings'!$B$5:$BJ$14,2,FALSE)</f>
        <v>Colden University</v>
      </c>
      <c r="D6" s="70" t="e">
        <f t="shared" si="0"/>
        <v>#N/A</v>
      </c>
      <c r="E6" s="103" t="str">
        <f>VLOOKUP(Standings!$B6,'Dummy Standings'!$B$5:$BJ$14,3,FALSE)</f>
        <v>NSCF</v>
      </c>
      <c r="F6" s="6">
        <f>VLOOKUP(Standings!$B6,'Dummy Standings'!$B$5:$BJ$14,COLUMN()+38,FALSE)</f>
        <v>9</v>
      </c>
      <c r="G6" s="17">
        <f>VLOOKUP(Standings!$B6,'Dummy Standings'!$B$5:$BJ$14,COLUMN()+38,FALSE)</f>
        <v>6</v>
      </c>
      <c r="H6" s="17">
        <f>VLOOKUP(Standings!$B6,'Dummy Standings'!$B$5:$BJ$14,COLUMN()+38,FALSE)</f>
        <v>3</v>
      </c>
      <c r="I6" s="17">
        <f>VLOOKUP(Standings!$B6,'Dummy Standings'!$B$5:$BJ$14,COLUMN()+38,FALSE)</f>
        <v>229</v>
      </c>
      <c r="J6" s="17">
        <f>VLOOKUP(Standings!$B6,'Dummy Standings'!$B$5:$BJ$14,COLUMN()+38,FALSE)</f>
        <v>140</v>
      </c>
      <c r="K6" s="7">
        <f>VLOOKUP(Standings!$B6,'Dummy Standings'!$B$5:$BJ$14,COLUMN()+38,FALSE)</f>
        <v>89</v>
      </c>
      <c r="L6" s="18">
        <f>VLOOKUP(Standings!$B6,'Dummy Standings'!$B$5:$BJ$14,COLUMN()+38,FALSE)</f>
        <v>5</v>
      </c>
      <c r="M6" s="18">
        <f>VLOOKUP(Standings!$B6,'Dummy Standings'!$B$5:$BJ$14,COLUMN()+38,FALSE)</f>
        <v>4</v>
      </c>
      <c r="N6" s="18">
        <f>VLOOKUP(Standings!$B6,'Dummy Standings'!$B$5:$BJ$14,COLUMN()+38,FALSE)</f>
        <v>1</v>
      </c>
      <c r="O6" s="18">
        <f>VLOOKUP(Standings!$B6,'Dummy Standings'!$B$5:$BJ$14,COLUMN()+38,FALSE)</f>
        <v>142</v>
      </c>
      <c r="P6" s="18">
        <f>VLOOKUP(Standings!$B6,'Dummy Standings'!$B$5:$BJ$14,COLUMN()+38,FALSE)</f>
        <v>84</v>
      </c>
      <c r="Q6" s="19">
        <f>VLOOKUP(Standings!$B6,'Dummy Standings'!$B$5:$BJ$14,COLUMN()+38,FALSE)</f>
        <v>58</v>
      </c>
      <c r="R6" s="18">
        <f>VLOOKUP(Standings!$B6,'Dummy Standings'!$B$5:$BJ$14,COLUMN()+38,FALSE)</f>
        <v>4</v>
      </c>
      <c r="S6" s="18">
        <f>VLOOKUP(Standings!$B6,'Dummy Standings'!$B$5:$BJ$14,COLUMN()+38,FALSE)</f>
        <v>2</v>
      </c>
      <c r="T6" s="18">
        <f>VLOOKUP(Standings!$B6,'Dummy Standings'!$B$5:$BJ$14,COLUMN()+38,FALSE)</f>
        <v>2</v>
      </c>
      <c r="U6" s="18">
        <f>VLOOKUP(Standings!$B6,'Dummy Standings'!$B$5:$BJ$14,COLUMN()+38,FALSE)</f>
        <v>87</v>
      </c>
      <c r="V6" s="18">
        <f>VLOOKUP(Standings!$B6,'Dummy Standings'!$B$5:$BJ$14,COLUMN()+38,FALSE)</f>
        <v>56</v>
      </c>
      <c r="W6" s="19">
        <f>VLOOKUP(Standings!$B6,'Dummy Standings'!$B$5:$BJ$14,COLUMN()+38,FALSE)</f>
        <v>31</v>
      </c>
    </row>
    <row r="7" spans="2:23" ht="12" thickBot="1">
      <c r="B7" s="67">
        <v>4</v>
      </c>
      <c r="C7" s="71" t="str">
        <f>VLOOKUP(Standings!$B7,'Dummy Standings'!$B$5:$BJ$14,2,FALSE)</f>
        <v>Ramusok Capital University</v>
      </c>
      <c r="D7" s="71" t="e">
        <f t="shared" si="0"/>
        <v>#N/A</v>
      </c>
      <c r="E7" s="104" t="str">
        <f>VLOOKUP(Standings!$B7,'Dummy Standings'!$B$5:$BJ$14,3,FALSE)</f>
        <v>NSCF</v>
      </c>
      <c r="F7" s="4">
        <f>VLOOKUP(Standings!$B7,'Dummy Standings'!$B$5:$BJ$14,COLUMN()+38,FALSE)</f>
        <v>9</v>
      </c>
      <c r="G7" s="3">
        <f>VLOOKUP(Standings!$B7,'Dummy Standings'!$B$5:$BJ$14,COLUMN()+38,FALSE)</f>
        <v>6</v>
      </c>
      <c r="H7" s="3">
        <f>VLOOKUP(Standings!$B7,'Dummy Standings'!$B$5:$BJ$14,COLUMN()+38,FALSE)</f>
        <v>3</v>
      </c>
      <c r="I7" s="3">
        <f>VLOOKUP(Standings!$B7,'Dummy Standings'!$B$5:$BJ$14,COLUMN()+38,FALSE)</f>
        <v>263</v>
      </c>
      <c r="J7" s="3">
        <f>VLOOKUP(Standings!$B7,'Dummy Standings'!$B$5:$BJ$14,COLUMN()+38,FALSE)</f>
        <v>211</v>
      </c>
      <c r="K7" s="5">
        <f>VLOOKUP(Standings!$B7,'Dummy Standings'!$B$5:$BJ$14,COLUMN()+38,FALSE)</f>
        <v>52</v>
      </c>
      <c r="L7" s="20">
        <f>VLOOKUP(Standings!$B7,'Dummy Standings'!$B$5:$BJ$14,COLUMN()+38,FALSE)</f>
        <v>5</v>
      </c>
      <c r="M7" s="20">
        <f>VLOOKUP(Standings!$B7,'Dummy Standings'!$B$5:$BJ$14,COLUMN()+38,FALSE)</f>
        <v>3</v>
      </c>
      <c r="N7" s="20">
        <f>VLOOKUP(Standings!$B7,'Dummy Standings'!$B$5:$BJ$14,COLUMN()+38,FALSE)</f>
        <v>2</v>
      </c>
      <c r="O7" s="20">
        <f>VLOOKUP(Standings!$B7,'Dummy Standings'!$B$5:$BJ$14,COLUMN()+38,FALSE)</f>
        <v>151</v>
      </c>
      <c r="P7" s="20">
        <f>VLOOKUP(Standings!$B7,'Dummy Standings'!$B$5:$BJ$14,COLUMN()+38,FALSE)</f>
        <v>130</v>
      </c>
      <c r="Q7" s="21">
        <f>VLOOKUP(Standings!$B7,'Dummy Standings'!$B$5:$BJ$14,COLUMN()+38,FALSE)</f>
        <v>21</v>
      </c>
      <c r="R7" s="20">
        <f>VLOOKUP(Standings!$B7,'Dummy Standings'!$B$5:$BJ$14,COLUMN()+38,FALSE)</f>
        <v>4</v>
      </c>
      <c r="S7" s="20">
        <f>VLOOKUP(Standings!$B7,'Dummy Standings'!$B$5:$BJ$14,COLUMN()+38,FALSE)</f>
        <v>3</v>
      </c>
      <c r="T7" s="20">
        <f>VLOOKUP(Standings!$B7,'Dummy Standings'!$B$5:$BJ$14,COLUMN()+38,FALSE)</f>
        <v>1</v>
      </c>
      <c r="U7" s="20">
        <f>VLOOKUP(Standings!$B7,'Dummy Standings'!$B$5:$BJ$14,COLUMN()+38,FALSE)</f>
        <v>112</v>
      </c>
      <c r="V7" s="20">
        <f>VLOOKUP(Standings!$B7,'Dummy Standings'!$B$5:$BJ$14,COLUMN()+38,FALSE)</f>
        <v>81</v>
      </c>
      <c r="W7" s="21">
        <f>VLOOKUP(Standings!$B7,'Dummy Standings'!$B$5:$BJ$14,COLUMN()+38,FALSE)</f>
        <v>31</v>
      </c>
    </row>
    <row r="8" spans="2:23" ht="11.25">
      <c r="B8" s="23">
        <v>5</v>
      </c>
      <c r="C8" s="70" t="str">
        <f>VLOOKUP(Standings!$B8,'Dummy Standings'!$B$5:$BJ$14,2,FALSE)</f>
        <v>Hudson State University</v>
      </c>
      <c r="D8" s="70" t="e">
        <f t="shared" si="0"/>
        <v>#N/A</v>
      </c>
      <c r="E8" s="103" t="str">
        <f>VLOOKUP(Standings!$B8,'Dummy Standings'!$B$5:$BJ$14,3,FALSE)</f>
        <v>NSCF</v>
      </c>
      <c r="F8" s="6">
        <f>VLOOKUP(Standings!$B8,'Dummy Standings'!$B$5:$BJ$14,COLUMN()+38,FALSE)</f>
        <v>9</v>
      </c>
      <c r="G8" s="17">
        <f>VLOOKUP(Standings!$B8,'Dummy Standings'!$B$5:$BJ$14,COLUMN()+38,FALSE)</f>
        <v>5</v>
      </c>
      <c r="H8" s="17">
        <f>VLOOKUP(Standings!$B8,'Dummy Standings'!$B$5:$BJ$14,COLUMN()+38,FALSE)</f>
        <v>4</v>
      </c>
      <c r="I8" s="17">
        <f>VLOOKUP(Standings!$B8,'Dummy Standings'!$B$5:$BJ$14,COLUMN()+38,FALSE)</f>
        <v>210</v>
      </c>
      <c r="J8" s="17">
        <f>VLOOKUP(Standings!$B8,'Dummy Standings'!$B$5:$BJ$14,COLUMN()+38,FALSE)</f>
        <v>185</v>
      </c>
      <c r="K8" s="7">
        <f>VLOOKUP(Standings!$B8,'Dummy Standings'!$B$5:$BJ$14,COLUMN()+38,FALSE)</f>
        <v>25</v>
      </c>
      <c r="L8" s="18">
        <f>VLOOKUP(Standings!$B8,'Dummy Standings'!$B$5:$BJ$14,COLUMN()+38,FALSE)</f>
        <v>4</v>
      </c>
      <c r="M8" s="18">
        <f>VLOOKUP(Standings!$B8,'Dummy Standings'!$B$5:$BJ$14,COLUMN()+38,FALSE)</f>
        <v>2</v>
      </c>
      <c r="N8" s="18">
        <f>VLOOKUP(Standings!$B8,'Dummy Standings'!$B$5:$BJ$14,COLUMN()+38,FALSE)</f>
        <v>2</v>
      </c>
      <c r="O8" s="18">
        <f>VLOOKUP(Standings!$B8,'Dummy Standings'!$B$5:$BJ$14,COLUMN()+38,FALSE)</f>
        <v>84</v>
      </c>
      <c r="P8" s="18">
        <f>VLOOKUP(Standings!$B8,'Dummy Standings'!$B$5:$BJ$14,COLUMN()+38,FALSE)</f>
        <v>79</v>
      </c>
      <c r="Q8" s="19">
        <f>VLOOKUP(Standings!$B8,'Dummy Standings'!$B$5:$BJ$14,COLUMN()+38,FALSE)</f>
        <v>5</v>
      </c>
      <c r="R8" s="18">
        <f>VLOOKUP(Standings!$B8,'Dummy Standings'!$B$5:$BJ$14,COLUMN()+38,FALSE)</f>
        <v>5</v>
      </c>
      <c r="S8" s="18">
        <f>VLOOKUP(Standings!$B8,'Dummy Standings'!$B$5:$BJ$14,COLUMN()+38,FALSE)</f>
        <v>3</v>
      </c>
      <c r="T8" s="18">
        <f>VLOOKUP(Standings!$B8,'Dummy Standings'!$B$5:$BJ$14,COLUMN()+38,FALSE)</f>
        <v>2</v>
      </c>
      <c r="U8" s="18">
        <f>VLOOKUP(Standings!$B8,'Dummy Standings'!$B$5:$BJ$14,COLUMN()+38,FALSE)</f>
        <v>126</v>
      </c>
      <c r="V8" s="18">
        <f>VLOOKUP(Standings!$B8,'Dummy Standings'!$B$5:$BJ$14,COLUMN()+38,FALSE)</f>
        <v>106</v>
      </c>
      <c r="W8" s="19">
        <f>VLOOKUP(Standings!$B8,'Dummy Standings'!$B$5:$BJ$14,COLUMN()+38,FALSE)</f>
        <v>20</v>
      </c>
    </row>
    <row r="9" spans="2:23" ht="11.25">
      <c r="B9" s="23">
        <v>6</v>
      </c>
      <c r="C9" s="70" t="str">
        <f>VLOOKUP(Standings!$B9,'Dummy Standings'!$B$5:$BJ$14,2,FALSE)</f>
        <v>Luther University</v>
      </c>
      <c r="D9" s="70" t="e">
        <f t="shared" si="0"/>
        <v>#N/A</v>
      </c>
      <c r="E9" s="103" t="str">
        <f>VLOOKUP(Standings!$B9,'Dummy Standings'!$B$5:$BJ$14,3,FALSE)</f>
        <v>NSCF</v>
      </c>
      <c r="F9" s="6">
        <f>VLOOKUP(Standings!$B9,'Dummy Standings'!$B$5:$BJ$14,COLUMN()+38,FALSE)</f>
        <v>9</v>
      </c>
      <c r="G9" s="17">
        <f>VLOOKUP(Standings!$B9,'Dummy Standings'!$B$5:$BJ$14,COLUMN()+38,FALSE)</f>
        <v>4</v>
      </c>
      <c r="H9" s="17">
        <f>VLOOKUP(Standings!$B9,'Dummy Standings'!$B$5:$BJ$14,COLUMN()+38,FALSE)</f>
        <v>5</v>
      </c>
      <c r="I9" s="17">
        <f>VLOOKUP(Standings!$B9,'Dummy Standings'!$B$5:$BJ$14,COLUMN()+38,FALSE)</f>
        <v>182</v>
      </c>
      <c r="J9" s="17">
        <f>VLOOKUP(Standings!$B9,'Dummy Standings'!$B$5:$BJ$14,COLUMN()+38,FALSE)</f>
        <v>186</v>
      </c>
      <c r="K9" s="7">
        <f>VLOOKUP(Standings!$B9,'Dummy Standings'!$B$5:$BJ$14,COLUMN()+38,FALSE)</f>
        <v>-4</v>
      </c>
      <c r="L9" s="18">
        <f>VLOOKUP(Standings!$B9,'Dummy Standings'!$B$5:$BJ$14,COLUMN()+38,FALSE)</f>
        <v>4</v>
      </c>
      <c r="M9" s="18">
        <f>VLOOKUP(Standings!$B9,'Dummy Standings'!$B$5:$BJ$14,COLUMN()+38,FALSE)</f>
        <v>2</v>
      </c>
      <c r="N9" s="18">
        <f>VLOOKUP(Standings!$B9,'Dummy Standings'!$B$5:$BJ$14,COLUMN()+38,FALSE)</f>
        <v>2</v>
      </c>
      <c r="O9" s="18">
        <f>VLOOKUP(Standings!$B9,'Dummy Standings'!$B$5:$BJ$14,COLUMN()+38,FALSE)</f>
        <v>64</v>
      </c>
      <c r="P9" s="18">
        <f>VLOOKUP(Standings!$B9,'Dummy Standings'!$B$5:$BJ$14,COLUMN()+38,FALSE)</f>
        <v>64</v>
      </c>
      <c r="Q9" s="19">
        <f>VLOOKUP(Standings!$B9,'Dummy Standings'!$B$5:$BJ$14,COLUMN()+38,FALSE)</f>
        <v>0</v>
      </c>
      <c r="R9" s="18">
        <f>VLOOKUP(Standings!$B9,'Dummy Standings'!$B$5:$BJ$14,COLUMN()+38,FALSE)</f>
        <v>5</v>
      </c>
      <c r="S9" s="18">
        <f>VLOOKUP(Standings!$B9,'Dummy Standings'!$B$5:$BJ$14,COLUMN()+38,FALSE)</f>
        <v>2</v>
      </c>
      <c r="T9" s="18">
        <f>VLOOKUP(Standings!$B9,'Dummy Standings'!$B$5:$BJ$14,COLUMN()+38,FALSE)</f>
        <v>3</v>
      </c>
      <c r="U9" s="18">
        <f>VLOOKUP(Standings!$B9,'Dummy Standings'!$B$5:$BJ$14,COLUMN()+38,FALSE)</f>
        <v>118</v>
      </c>
      <c r="V9" s="18">
        <f>VLOOKUP(Standings!$B9,'Dummy Standings'!$B$5:$BJ$14,COLUMN()+38,FALSE)</f>
        <v>122</v>
      </c>
      <c r="W9" s="19">
        <f>VLOOKUP(Standings!$B9,'Dummy Standings'!$B$5:$BJ$14,COLUMN()+38,FALSE)</f>
        <v>-4</v>
      </c>
    </row>
    <row r="10" spans="2:23" ht="11.25">
      <c r="B10" s="23">
        <v>7</v>
      </c>
      <c r="C10" s="70" t="str">
        <f>VLOOKUP(Standings!$B10,'Dummy Standings'!$B$5:$BJ$14,2,FALSE)</f>
        <v>Northumberland State</v>
      </c>
      <c r="D10" s="70" t="e">
        <f t="shared" si="0"/>
        <v>#N/A</v>
      </c>
      <c r="E10" s="103" t="str">
        <f>VLOOKUP(Standings!$B10,'Dummy Standings'!$B$5:$BJ$14,3,FALSE)</f>
        <v>NSCF</v>
      </c>
      <c r="F10" s="6">
        <f>VLOOKUP(Standings!$B10,'Dummy Standings'!$B$5:$BJ$14,COLUMN()+38,FALSE)</f>
        <v>9</v>
      </c>
      <c r="G10" s="17">
        <f>VLOOKUP(Standings!$B10,'Dummy Standings'!$B$5:$BJ$14,COLUMN()+38,FALSE)</f>
        <v>2</v>
      </c>
      <c r="H10" s="17">
        <f>VLOOKUP(Standings!$B10,'Dummy Standings'!$B$5:$BJ$14,COLUMN()+38,FALSE)</f>
        <v>7</v>
      </c>
      <c r="I10" s="17">
        <f>VLOOKUP(Standings!$B10,'Dummy Standings'!$B$5:$BJ$14,COLUMN()+38,FALSE)</f>
        <v>143</v>
      </c>
      <c r="J10" s="17">
        <f>VLOOKUP(Standings!$B10,'Dummy Standings'!$B$5:$BJ$14,COLUMN()+38,FALSE)</f>
        <v>168</v>
      </c>
      <c r="K10" s="7">
        <f>VLOOKUP(Standings!$B10,'Dummy Standings'!$B$5:$BJ$14,COLUMN()+38,FALSE)</f>
        <v>-25</v>
      </c>
      <c r="L10" s="18">
        <f>VLOOKUP(Standings!$B10,'Dummy Standings'!$B$5:$BJ$14,COLUMN()+38,FALSE)</f>
        <v>4</v>
      </c>
      <c r="M10" s="18">
        <f>VLOOKUP(Standings!$B10,'Dummy Standings'!$B$5:$BJ$14,COLUMN()+38,FALSE)</f>
        <v>2</v>
      </c>
      <c r="N10" s="18">
        <f>VLOOKUP(Standings!$B10,'Dummy Standings'!$B$5:$BJ$14,COLUMN()+38,FALSE)</f>
        <v>2</v>
      </c>
      <c r="O10" s="18">
        <f>VLOOKUP(Standings!$B10,'Dummy Standings'!$B$5:$BJ$14,COLUMN()+38,FALSE)</f>
        <v>93</v>
      </c>
      <c r="P10" s="18">
        <f>VLOOKUP(Standings!$B10,'Dummy Standings'!$B$5:$BJ$14,COLUMN()+38,FALSE)</f>
        <v>62</v>
      </c>
      <c r="Q10" s="19">
        <f>VLOOKUP(Standings!$B10,'Dummy Standings'!$B$5:$BJ$14,COLUMN()+38,FALSE)</f>
        <v>31</v>
      </c>
      <c r="R10" s="18">
        <f>VLOOKUP(Standings!$B10,'Dummy Standings'!$B$5:$BJ$14,COLUMN()+38,FALSE)</f>
        <v>5</v>
      </c>
      <c r="S10" s="18">
        <f>VLOOKUP(Standings!$B10,'Dummy Standings'!$B$5:$BJ$14,COLUMN()+38,FALSE)</f>
        <v>0</v>
      </c>
      <c r="T10" s="18">
        <f>VLOOKUP(Standings!$B10,'Dummy Standings'!$B$5:$BJ$14,COLUMN()+38,FALSE)</f>
        <v>5</v>
      </c>
      <c r="U10" s="18">
        <f>VLOOKUP(Standings!$B10,'Dummy Standings'!$B$5:$BJ$14,COLUMN()+38,FALSE)</f>
        <v>50</v>
      </c>
      <c r="V10" s="18">
        <f>VLOOKUP(Standings!$B10,'Dummy Standings'!$B$5:$BJ$14,COLUMN()+38,FALSE)</f>
        <v>106</v>
      </c>
      <c r="W10" s="19">
        <f>VLOOKUP(Standings!$B10,'Dummy Standings'!$B$5:$BJ$14,COLUMN()+38,FALSE)</f>
        <v>-56</v>
      </c>
    </row>
    <row r="11" spans="2:23" ht="11.25">
      <c r="B11" s="23">
        <v>8</v>
      </c>
      <c r="C11" s="70" t="str">
        <f>VLOOKUP(Standings!$B11,'Dummy Standings'!$B$5:$BJ$14,2,FALSE)</f>
        <v>Sniper University</v>
      </c>
      <c r="D11" s="70" t="e">
        <f t="shared" si="0"/>
        <v>#N/A</v>
      </c>
      <c r="E11" s="103" t="str">
        <f>VLOOKUP(Standings!$B11,'Dummy Standings'!$B$5:$BJ$14,3,FALSE)</f>
        <v>NSCF</v>
      </c>
      <c r="F11" s="6">
        <f>VLOOKUP(Standings!$B11,'Dummy Standings'!$B$5:$BJ$14,COLUMN()+38,FALSE)</f>
        <v>9</v>
      </c>
      <c r="G11" s="17">
        <f>VLOOKUP(Standings!$B11,'Dummy Standings'!$B$5:$BJ$14,COLUMN()+38,FALSE)</f>
        <v>2</v>
      </c>
      <c r="H11" s="17">
        <f>VLOOKUP(Standings!$B11,'Dummy Standings'!$B$5:$BJ$14,COLUMN()+38,FALSE)</f>
        <v>7</v>
      </c>
      <c r="I11" s="17">
        <f>VLOOKUP(Standings!$B11,'Dummy Standings'!$B$5:$BJ$14,COLUMN()+38,FALSE)</f>
        <v>170</v>
      </c>
      <c r="J11" s="17">
        <f>VLOOKUP(Standings!$B11,'Dummy Standings'!$B$5:$BJ$14,COLUMN()+38,FALSE)</f>
        <v>279</v>
      </c>
      <c r="K11" s="7">
        <f>VLOOKUP(Standings!$B11,'Dummy Standings'!$B$5:$BJ$14,COLUMN()+38,FALSE)</f>
        <v>-109</v>
      </c>
      <c r="L11" s="18">
        <f>VLOOKUP(Standings!$B11,'Dummy Standings'!$B$5:$BJ$14,COLUMN()+38,FALSE)</f>
        <v>3</v>
      </c>
      <c r="M11" s="18">
        <f>VLOOKUP(Standings!$B11,'Dummy Standings'!$B$5:$BJ$14,COLUMN()+38,FALSE)</f>
        <v>2</v>
      </c>
      <c r="N11" s="18">
        <f>VLOOKUP(Standings!$B11,'Dummy Standings'!$B$5:$BJ$14,COLUMN()+38,FALSE)</f>
        <v>1</v>
      </c>
      <c r="O11" s="18">
        <f>VLOOKUP(Standings!$B11,'Dummy Standings'!$B$5:$BJ$14,COLUMN()+38,FALSE)</f>
        <v>57</v>
      </c>
      <c r="P11" s="18">
        <f>VLOOKUP(Standings!$B11,'Dummy Standings'!$B$5:$BJ$14,COLUMN()+38,FALSE)</f>
        <v>56</v>
      </c>
      <c r="Q11" s="19">
        <f>VLOOKUP(Standings!$B11,'Dummy Standings'!$B$5:$BJ$14,COLUMN()+38,FALSE)</f>
        <v>1</v>
      </c>
      <c r="R11" s="18">
        <f>VLOOKUP(Standings!$B11,'Dummy Standings'!$B$5:$BJ$14,COLUMN()+38,FALSE)</f>
        <v>6</v>
      </c>
      <c r="S11" s="18">
        <f>VLOOKUP(Standings!$B11,'Dummy Standings'!$B$5:$BJ$14,COLUMN()+38,FALSE)</f>
        <v>0</v>
      </c>
      <c r="T11" s="18">
        <f>VLOOKUP(Standings!$B11,'Dummy Standings'!$B$5:$BJ$14,COLUMN()+38,FALSE)</f>
        <v>6</v>
      </c>
      <c r="U11" s="18">
        <f>VLOOKUP(Standings!$B11,'Dummy Standings'!$B$5:$BJ$14,COLUMN()+38,FALSE)</f>
        <v>113</v>
      </c>
      <c r="V11" s="18">
        <f>VLOOKUP(Standings!$B11,'Dummy Standings'!$B$5:$BJ$14,COLUMN()+38,FALSE)</f>
        <v>223</v>
      </c>
      <c r="W11" s="19">
        <f>VLOOKUP(Standings!$B11,'Dummy Standings'!$B$5:$BJ$14,COLUMN()+38,FALSE)</f>
        <v>-110</v>
      </c>
    </row>
    <row r="12" spans="2:23" ht="11.25">
      <c r="B12" s="23">
        <v>9</v>
      </c>
      <c r="C12" s="70" t="str">
        <f>VLOOKUP(Standings!$B12,'Dummy Standings'!$B$5:$BJ$14,2,FALSE)</f>
        <v>Middle Point Academy</v>
      </c>
      <c r="D12" s="70" t="e">
        <f t="shared" si="0"/>
        <v>#N/A</v>
      </c>
      <c r="E12" s="103" t="str">
        <f>VLOOKUP(Standings!$B12,'Dummy Standings'!$B$5:$BJ$14,3,FALSE)</f>
        <v>NSCF</v>
      </c>
      <c r="F12" s="6">
        <f>VLOOKUP(Standings!$B12,'Dummy Standings'!$B$5:$BJ$14,COLUMN()+38,FALSE)</f>
        <v>9</v>
      </c>
      <c r="G12" s="17">
        <f>VLOOKUP(Standings!$B12,'Dummy Standings'!$B$5:$BJ$14,COLUMN()+38,FALSE)</f>
        <v>2</v>
      </c>
      <c r="H12" s="17">
        <f>VLOOKUP(Standings!$B12,'Dummy Standings'!$B$5:$BJ$14,COLUMN()+38,FALSE)</f>
        <v>7</v>
      </c>
      <c r="I12" s="17">
        <f>VLOOKUP(Standings!$B12,'Dummy Standings'!$B$5:$BJ$14,COLUMN()+38,FALSE)</f>
        <v>116</v>
      </c>
      <c r="J12" s="17">
        <f>VLOOKUP(Standings!$B12,'Dummy Standings'!$B$5:$BJ$14,COLUMN()+38,FALSE)</f>
        <v>259</v>
      </c>
      <c r="K12" s="7">
        <f>VLOOKUP(Standings!$B12,'Dummy Standings'!$B$5:$BJ$14,COLUMN()+38,FALSE)</f>
        <v>-143</v>
      </c>
      <c r="L12" s="18">
        <f>VLOOKUP(Standings!$B12,'Dummy Standings'!$B$5:$BJ$14,COLUMN()+38,FALSE)</f>
        <v>5</v>
      </c>
      <c r="M12" s="18">
        <f>VLOOKUP(Standings!$B12,'Dummy Standings'!$B$5:$BJ$14,COLUMN()+38,FALSE)</f>
        <v>1</v>
      </c>
      <c r="N12" s="18">
        <f>VLOOKUP(Standings!$B12,'Dummy Standings'!$B$5:$BJ$14,COLUMN()+38,FALSE)</f>
        <v>4</v>
      </c>
      <c r="O12" s="18">
        <f>VLOOKUP(Standings!$B12,'Dummy Standings'!$B$5:$BJ$14,COLUMN()+38,FALSE)</f>
        <v>53</v>
      </c>
      <c r="P12" s="18">
        <f>VLOOKUP(Standings!$B12,'Dummy Standings'!$B$5:$BJ$14,COLUMN()+38,FALSE)</f>
        <v>151</v>
      </c>
      <c r="Q12" s="19">
        <f>VLOOKUP(Standings!$B12,'Dummy Standings'!$B$5:$BJ$14,COLUMN()+38,FALSE)</f>
        <v>-98</v>
      </c>
      <c r="R12" s="18">
        <f>VLOOKUP(Standings!$B12,'Dummy Standings'!$B$5:$BJ$14,COLUMN()+38,FALSE)</f>
        <v>4</v>
      </c>
      <c r="S12" s="18">
        <f>VLOOKUP(Standings!$B12,'Dummy Standings'!$B$5:$BJ$14,COLUMN()+38,FALSE)</f>
        <v>1</v>
      </c>
      <c r="T12" s="18">
        <f>VLOOKUP(Standings!$B12,'Dummy Standings'!$B$5:$BJ$14,COLUMN()+38,FALSE)</f>
        <v>3</v>
      </c>
      <c r="U12" s="18">
        <f>VLOOKUP(Standings!$B12,'Dummy Standings'!$B$5:$BJ$14,COLUMN()+38,FALSE)</f>
        <v>63</v>
      </c>
      <c r="V12" s="18">
        <f>VLOOKUP(Standings!$B12,'Dummy Standings'!$B$5:$BJ$14,COLUMN()+38,FALSE)</f>
        <v>108</v>
      </c>
      <c r="W12" s="19">
        <f>VLOOKUP(Standings!$B12,'Dummy Standings'!$B$5:$BJ$14,COLUMN()+38,FALSE)</f>
        <v>-45</v>
      </c>
    </row>
    <row r="13" spans="2:23" ht="12" thickBot="1">
      <c r="B13" s="67">
        <v>10</v>
      </c>
      <c r="C13" s="71" t="str">
        <f>VLOOKUP(Standings!$B13,'Dummy Standings'!$B$5:$BJ$14,2,FALSE)</f>
        <v>Novibruk University</v>
      </c>
      <c r="D13" s="71" t="e">
        <f t="shared" si="0"/>
        <v>#N/A</v>
      </c>
      <c r="E13" s="104" t="str">
        <f>VLOOKUP(Standings!$B13,'Dummy Standings'!$B$5:$BJ$14,3,FALSE)</f>
        <v>NSCF</v>
      </c>
      <c r="F13" s="4">
        <f>VLOOKUP(Standings!$B13,'Dummy Standings'!$B$5:$BJ$14,COLUMN()+38,FALSE)</f>
        <v>9</v>
      </c>
      <c r="G13" s="3">
        <f>VLOOKUP(Standings!$B13,'Dummy Standings'!$B$5:$BJ$14,COLUMN()+38,FALSE)</f>
        <v>1</v>
      </c>
      <c r="H13" s="3">
        <f>VLOOKUP(Standings!$B13,'Dummy Standings'!$B$5:$BJ$14,COLUMN()+38,FALSE)</f>
        <v>8</v>
      </c>
      <c r="I13" s="3">
        <f>VLOOKUP(Standings!$B13,'Dummy Standings'!$B$5:$BJ$14,COLUMN()+38,FALSE)</f>
        <v>179</v>
      </c>
      <c r="J13" s="3">
        <f>VLOOKUP(Standings!$B13,'Dummy Standings'!$B$5:$BJ$14,COLUMN()+38,FALSE)</f>
        <v>277</v>
      </c>
      <c r="K13" s="5">
        <f>VLOOKUP(Standings!$B13,'Dummy Standings'!$B$5:$BJ$14,COLUMN()+38,FALSE)</f>
        <v>-98</v>
      </c>
      <c r="L13" s="20">
        <f>VLOOKUP(Standings!$B13,'Dummy Standings'!$B$5:$BJ$14,COLUMN()+38,FALSE)</f>
        <v>5</v>
      </c>
      <c r="M13" s="20">
        <f>VLOOKUP(Standings!$B13,'Dummy Standings'!$B$5:$BJ$14,COLUMN()+38,FALSE)</f>
        <v>1</v>
      </c>
      <c r="N13" s="20">
        <f>VLOOKUP(Standings!$B13,'Dummy Standings'!$B$5:$BJ$14,COLUMN()+38,FALSE)</f>
        <v>4</v>
      </c>
      <c r="O13" s="20">
        <f>VLOOKUP(Standings!$B13,'Dummy Standings'!$B$5:$BJ$14,COLUMN()+38,FALSE)</f>
        <v>123</v>
      </c>
      <c r="P13" s="20">
        <f>VLOOKUP(Standings!$B13,'Dummy Standings'!$B$5:$BJ$14,COLUMN()+38,FALSE)</f>
        <v>140</v>
      </c>
      <c r="Q13" s="21">
        <f>VLOOKUP(Standings!$B13,'Dummy Standings'!$B$5:$BJ$14,COLUMN()+38,FALSE)</f>
        <v>-17</v>
      </c>
      <c r="R13" s="20">
        <f>VLOOKUP(Standings!$B13,'Dummy Standings'!$B$5:$BJ$14,COLUMN()+38,FALSE)</f>
        <v>4</v>
      </c>
      <c r="S13" s="20">
        <f>VLOOKUP(Standings!$B13,'Dummy Standings'!$B$5:$BJ$14,COLUMN()+38,FALSE)</f>
        <v>0</v>
      </c>
      <c r="T13" s="20">
        <f>VLOOKUP(Standings!$B13,'Dummy Standings'!$B$5:$BJ$14,COLUMN()+38,FALSE)</f>
        <v>4</v>
      </c>
      <c r="U13" s="20">
        <f>VLOOKUP(Standings!$B13,'Dummy Standings'!$B$5:$BJ$14,COLUMN()+38,FALSE)</f>
        <v>56</v>
      </c>
      <c r="V13" s="20">
        <f>VLOOKUP(Standings!$B13,'Dummy Standings'!$B$5:$BJ$14,COLUMN()+38,FALSE)</f>
        <v>137</v>
      </c>
      <c r="W13" s="21">
        <f>VLOOKUP(Standings!$B13,'Dummy Standings'!$B$5:$BJ$14,COLUMN()+38,FALSE)</f>
        <v>-81</v>
      </c>
    </row>
    <row r="14" spans="2:23" s="85" customFormat="1" ht="11.25">
      <c r="B14" s="85">
        <v>11</v>
      </c>
      <c r="C14" s="86" t="e">
        <f>VLOOKUP(Standings!$B14,'Dummy Standings'!$B$5:$BJ$14,2,FALSE)</f>
        <v>#N/A</v>
      </c>
      <c r="D14" s="86" t="e">
        <f t="shared" si="0"/>
        <v>#N/A</v>
      </c>
      <c r="E14" s="86" t="e">
        <f>VLOOKUP(Standings!$B14,'Dummy Standings'!$B$5:$BJ$14,3,FALSE)</f>
        <v>#N/A</v>
      </c>
      <c r="F14" s="85" t="e">
        <f>VLOOKUP(Standings!$B14,'Dummy Standings'!$B$5:$BJ$14,COLUMN()+38,FALSE)</f>
        <v>#N/A</v>
      </c>
      <c r="G14" s="85" t="e">
        <f>VLOOKUP(Standings!$B14,'Dummy Standings'!$B$5:$BJ$14,COLUMN()+38,FALSE)</f>
        <v>#N/A</v>
      </c>
      <c r="H14" s="85" t="e">
        <f>VLOOKUP(Standings!$B14,'Dummy Standings'!$B$5:$BJ$14,COLUMN()+38,FALSE)</f>
        <v>#N/A</v>
      </c>
      <c r="I14" s="85" t="e">
        <f>VLOOKUP(Standings!$B14,'Dummy Standings'!$B$5:$BJ$14,COLUMN()+38,FALSE)</f>
        <v>#N/A</v>
      </c>
      <c r="J14" s="85" t="e">
        <f>VLOOKUP(Standings!$B14,'Dummy Standings'!$B$5:$BJ$14,COLUMN()+38,FALSE)</f>
        <v>#N/A</v>
      </c>
      <c r="K14" s="85" t="e">
        <f>VLOOKUP(Standings!$B14,'Dummy Standings'!$B$5:$BJ$14,COLUMN()+38,FALSE)</f>
        <v>#N/A</v>
      </c>
      <c r="L14" s="85" t="e">
        <f>VLOOKUP(Standings!$B14,'Dummy Standings'!$B$5:$BJ$14,COLUMN()+38,FALSE)</f>
        <v>#N/A</v>
      </c>
      <c r="M14" s="85" t="e">
        <f>VLOOKUP(Standings!$B14,'Dummy Standings'!$B$5:$BJ$14,COLUMN()+38,FALSE)</f>
        <v>#N/A</v>
      </c>
      <c r="N14" s="85" t="e">
        <f>VLOOKUP(Standings!$B14,'Dummy Standings'!$B$5:$BJ$14,COLUMN()+38,FALSE)</f>
        <v>#N/A</v>
      </c>
      <c r="O14" s="85" t="e">
        <f>VLOOKUP(Standings!$B14,'Dummy Standings'!$B$5:$BJ$14,COLUMN()+38,FALSE)</f>
        <v>#N/A</v>
      </c>
      <c r="P14" s="85" t="e">
        <f>VLOOKUP(Standings!$B14,'Dummy Standings'!$B$5:$BJ$14,COLUMN()+38,FALSE)</f>
        <v>#N/A</v>
      </c>
      <c r="Q14" s="85" t="e">
        <f>VLOOKUP(Standings!$B14,'Dummy Standings'!$B$5:$BJ$14,COLUMN()+38,FALSE)</f>
        <v>#N/A</v>
      </c>
      <c r="R14" s="85" t="e">
        <f>VLOOKUP(Standings!$B14,'Dummy Standings'!$B$5:$BJ$14,COLUMN()+38,FALSE)</f>
        <v>#N/A</v>
      </c>
      <c r="S14" s="85" t="e">
        <f>VLOOKUP(Standings!$B14,'Dummy Standings'!$B$5:$BJ$14,COLUMN()+38,FALSE)</f>
        <v>#N/A</v>
      </c>
      <c r="T14" s="85" t="e">
        <f>VLOOKUP(Standings!$B14,'Dummy Standings'!$B$5:$BJ$14,COLUMN()+38,FALSE)</f>
        <v>#N/A</v>
      </c>
      <c r="U14" s="85" t="e">
        <f>VLOOKUP(Standings!$B14,'Dummy Standings'!$B$5:$BJ$14,COLUMN()+38,FALSE)</f>
        <v>#N/A</v>
      </c>
      <c r="V14" s="85" t="e">
        <f>VLOOKUP(Standings!$B14,'Dummy Standings'!$B$5:$BJ$14,COLUMN()+38,FALSE)</f>
        <v>#N/A</v>
      </c>
      <c r="W14" s="85" t="e">
        <f>VLOOKUP(Standings!$B14,'Dummy Standings'!$B$5:$BJ$14,COLUMN()+38,FALSE)</f>
        <v>#N/A</v>
      </c>
    </row>
    <row r="15" spans="2:23" s="85" customFormat="1" ht="11.25">
      <c r="B15" s="85">
        <v>12</v>
      </c>
      <c r="C15" s="86" t="e">
        <f>VLOOKUP(Standings!$B15,'Dummy Standings'!$B$5:$BJ$14,2,FALSE)</f>
        <v>#N/A</v>
      </c>
      <c r="D15" s="86" t="e">
        <f t="shared" si="0"/>
        <v>#N/A</v>
      </c>
      <c r="E15" s="86" t="e">
        <f>VLOOKUP(Standings!$B15,'Dummy Standings'!$B$5:$BJ$14,3,FALSE)</f>
        <v>#N/A</v>
      </c>
      <c r="F15" s="85" t="e">
        <f>VLOOKUP(Standings!$B15,'Dummy Standings'!$B$5:$BJ$14,COLUMN()+38,FALSE)</f>
        <v>#N/A</v>
      </c>
      <c r="G15" s="85" t="e">
        <f>VLOOKUP(Standings!$B15,'Dummy Standings'!$B$5:$BJ$14,COLUMN()+38,FALSE)</f>
        <v>#N/A</v>
      </c>
      <c r="H15" s="85" t="e">
        <f>VLOOKUP(Standings!$B15,'Dummy Standings'!$B$5:$BJ$14,COLUMN()+38,FALSE)</f>
        <v>#N/A</v>
      </c>
      <c r="I15" s="85" t="e">
        <f>VLOOKUP(Standings!$B15,'Dummy Standings'!$B$5:$BJ$14,COLUMN()+38,FALSE)</f>
        <v>#N/A</v>
      </c>
      <c r="J15" s="85" t="e">
        <f>VLOOKUP(Standings!$B15,'Dummy Standings'!$B$5:$BJ$14,COLUMN()+38,FALSE)</f>
        <v>#N/A</v>
      </c>
      <c r="K15" s="85" t="e">
        <f>VLOOKUP(Standings!$B15,'Dummy Standings'!$B$5:$BJ$14,COLUMN()+38,FALSE)</f>
        <v>#N/A</v>
      </c>
      <c r="L15" s="85" t="e">
        <f>VLOOKUP(Standings!$B15,'Dummy Standings'!$B$5:$BJ$14,COLUMN()+38,FALSE)</f>
        <v>#N/A</v>
      </c>
      <c r="M15" s="85" t="e">
        <f>VLOOKUP(Standings!$B15,'Dummy Standings'!$B$5:$BJ$14,COLUMN()+38,FALSE)</f>
        <v>#N/A</v>
      </c>
      <c r="N15" s="85" t="e">
        <f>VLOOKUP(Standings!$B15,'Dummy Standings'!$B$5:$BJ$14,COLUMN()+38,FALSE)</f>
        <v>#N/A</v>
      </c>
      <c r="O15" s="85" t="e">
        <f>VLOOKUP(Standings!$B15,'Dummy Standings'!$B$5:$BJ$14,COLUMN()+38,FALSE)</f>
        <v>#N/A</v>
      </c>
      <c r="P15" s="85" t="e">
        <f>VLOOKUP(Standings!$B15,'Dummy Standings'!$B$5:$BJ$14,COLUMN()+38,FALSE)</f>
        <v>#N/A</v>
      </c>
      <c r="Q15" s="85" t="e">
        <f>VLOOKUP(Standings!$B15,'Dummy Standings'!$B$5:$BJ$14,COLUMN()+38,FALSE)</f>
        <v>#N/A</v>
      </c>
      <c r="R15" s="85" t="e">
        <f>VLOOKUP(Standings!$B15,'Dummy Standings'!$B$5:$BJ$14,COLUMN()+38,FALSE)</f>
        <v>#N/A</v>
      </c>
      <c r="S15" s="85" t="e">
        <f>VLOOKUP(Standings!$B15,'Dummy Standings'!$B$5:$BJ$14,COLUMN()+38,FALSE)</f>
        <v>#N/A</v>
      </c>
      <c r="T15" s="85" t="e">
        <f>VLOOKUP(Standings!$B15,'Dummy Standings'!$B$5:$BJ$14,COLUMN()+38,FALSE)</f>
        <v>#N/A</v>
      </c>
      <c r="U15" s="85" t="e">
        <f>VLOOKUP(Standings!$B15,'Dummy Standings'!$B$5:$BJ$14,COLUMN()+38,FALSE)</f>
        <v>#N/A</v>
      </c>
      <c r="V15" s="85" t="e">
        <f>VLOOKUP(Standings!$B15,'Dummy Standings'!$B$5:$BJ$14,COLUMN()+38,FALSE)</f>
        <v>#N/A</v>
      </c>
      <c r="W15" s="85" t="e">
        <f>VLOOKUP(Standings!$B15,'Dummy Standings'!$B$5:$BJ$14,COLUMN()+38,FALSE)</f>
        <v>#N/A</v>
      </c>
    </row>
    <row r="16" spans="2:23" s="85" customFormat="1" ht="11.25">
      <c r="B16" s="85">
        <v>13</v>
      </c>
      <c r="C16" s="86" t="e">
        <f>VLOOKUP(Standings!$B16,'Dummy Standings'!$B$5:$BJ$14,2,FALSE)</f>
        <v>#N/A</v>
      </c>
      <c r="D16" s="86" t="e">
        <f t="shared" si="0"/>
        <v>#N/A</v>
      </c>
      <c r="E16" s="86" t="e">
        <f>VLOOKUP(Standings!$B16,'Dummy Standings'!$B$5:$BJ$14,3,FALSE)</f>
        <v>#N/A</v>
      </c>
      <c r="F16" s="85" t="e">
        <f>VLOOKUP(Standings!$B16,'Dummy Standings'!$B$5:$BJ$14,COLUMN()+38,FALSE)</f>
        <v>#N/A</v>
      </c>
      <c r="G16" s="85" t="e">
        <f>VLOOKUP(Standings!$B16,'Dummy Standings'!$B$5:$BJ$14,COLUMN()+38,FALSE)</f>
        <v>#N/A</v>
      </c>
      <c r="H16" s="85" t="e">
        <f>VLOOKUP(Standings!$B16,'Dummy Standings'!$B$5:$BJ$14,COLUMN()+38,FALSE)</f>
        <v>#N/A</v>
      </c>
      <c r="I16" s="85" t="e">
        <f>VLOOKUP(Standings!$B16,'Dummy Standings'!$B$5:$BJ$14,COLUMN()+38,FALSE)</f>
        <v>#N/A</v>
      </c>
      <c r="J16" s="85" t="e">
        <f>VLOOKUP(Standings!$B16,'Dummy Standings'!$B$5:$BJ$14,COLUMN()+38,FALSE)</f>
        <v>#N/A</v>
      </c>
      <c r="K16" s="85" t="e">
        <f>VLOOKUP(Standings!$B16,'Dummy Standings'!$B$5:$BJ$14,COLUMN()+38,FALSE)</f>
        <v>#N/A</v>
      </c>
      <c r="L16" s="85" t="e">
        <f>VLOOKUP(Standings!$B16,'Dummy Standings'!$B$5:$BJ$14,COLUMN()+38,FALSE)</f>
        <v>#N/A</v>
      </c>
      <c r="M16" s="85" t="e">
        <f>VLOOKUP(Standings!$B16,'Dummy Standings'!$B$5:$BJ$14,COLUMN()+38,FALSE)</f>
        <v>#N/A</v>
      </c>
      <c r="N16" s="85" t="e">
        <f>VLOOKUP(Standings!$B16,'Dummy Standings'!$B$5:$BJ$14,COLUMN()+38,FALSE)</f>
        <v>#N/A</v>
      </c>
      <c r="O16" s="85" t="e">
        <f>VLOOKUP(Standings!$B16,'Dummy Standings'!$B$5:$BJ$14,COLUMN()+38,FALSE)</f>
        <v>#N/A</v>
      </c>
      <c r="P16" s="85" t="e">
        <f>VLOOKUP(Standings!$B16,'Dummy Standings'!$B$5:$BJ$14,COLUMN()+38,FALSE)</f>
        <v>#N/A</v>
      </c>
      <c r="Q16" s="85" t="e">
        <f>VLOOKUP(Standings!$B16,'Dummy Standings'!$B$5:$BJ$14,COLUMN()+38,FALSE)</f>
        <v>#N/A</v>
      </c>
      <c r="R16" s="85" t="e">
        <f>VLOOKUP(Standings!$B16,'Dummy Standings'!$B$5:$BJ$14,COLUMN()+38,FALSE)</f>
        <v>#N/A</v>
      </c>
      <c r="S16" s="85" t="e">
        <f>VLOOKUP(Standings!$B16,'Dummy Standings'!$B$5:$BJ$14,COLUMN()+38,FALSE)</f>
        <v>#N/A</v>
      </c>
      <c r="T16" s="85" t="e">
        <f>VLOOKUP(Standings!$B16,'Dummy Standings'!$B$5:$BJ$14,COLUMN()+38,FALSE)</f>
        <v>#N/A</v>
      </c>
      <c r="U16" s="85" t="e">
        <f>VLOOKUP(Standings!$B16,'Dummy Standings'!$B$5:$BJ$14,COLUMN()+38,FALSE)</f>
        <v>#N/A</v>
      </c>
      <c r="V16" s="85" t="e">
        <f>VLOOKUP(Standings!$B16,'Dummy Standings'!$B$5:$BJ$14,COLUMN()+38,FALSE)</f>
        <v>#N/A</v>
      </c>
      <c r="W16" s="85" t="e">
        <f>VLOOKUP(Standings!$B16,'Dummy Standings'!$B$5:$BJ$14,COLUMN()+38,FALSE)</f>
        <v>#N/A</v>
      </c>
    </row>
    <row r="17" spans="2:23" s="85" customFormat="1" ht="11.25">
      <c r="B17" s="85">
        <v>14</v>
      </c>
      <c r="C17" s="86" t="e">
        <f>VLOOKUP(Standings!$B17,'Dummy Standings'!$B$5:$BJ$14,2,FALSE)</f>
        <v>#N/A</v>
      </c>
      <c r="D17" s="86" t="e">
        <f t="shared" si="0"/>
        <v>#N/A</v>
      </c>
      <c r="E17" s="86" t="e">
        <f>VLOOKUP(Standings!$B17,'Dummy Standings'!$B$5:$BJ$14,3,FALSE)</f>
        <v>#N/A</v>
      </c>
      <c r="F17" s="85" t="e">
        <f>VLOOKUP(Standings!$B17,'Dummy Standings'!$B$5:$BJ$14,COLUMN()+38,FALSE)</f>
        <v>#N/A</v>
      </c>
      <c r="G17" s="85" t="e">
        <f>VLOOKUP(Standings!$B17,'Dummy Standings'!$B$5:$BJ$14,COLUMN()+38,FALSE)</f>
        <v>#N/A</v>
      </c>
      <c r="H17" s="85" t="e">
        <f>VLOOKUP(Standings!$B17,'Dummy Standings'!$B$5:$BJ$14,COLUMN()+38,FALSE)</f>
        <v>#N/A</v>
      </c>
      <c r="I17" s="85" t="e">
        <f>VLOOKUP(Standings!$B17,'Dummy Standings'!$B$5:$BJ$14,COLUMN()+38,FALSE)</f>
        <v>#N/A</v>
      </c>
      <c r="J17" s="85" t="e">
        <f>VLOOKUP(Standings!$B17,'Dummy Standings'!$B$5:$BJ$14,COLUMN()+38,FALSE)</f>
        <v>#N/A</v>
      </c>
      <c r="K17" s="85" t="e">
        <f>VLOOKUP(Standings!$B17,'Dummy Standings'!$B$5:$BJ$14,COLUMN()+38,FALSE)</f>
        <v>#N/A</v>
      </c>
      <c r="L17" s="85" t="e">
        <f>VLOOKUP(Standings!$B17,'Dummy Standings'!$B$5:$BJ$14,COLUMN()+38,FALSE)</f>
        <v>#N/A</v>
      </c>
      <c r="M17" s="85" t="e">
        <f>VLOOKUP(Standings!$B17,'Dummy Standings'!$B$5:$BJ$14,COLUMN()+38,FALSE)</f>
        <v>#N/A</v>
      </c>
      <c r="N17" s="85" t="e">
        <f>VLOOKUP(Standings!$B17,'Dummy Standings'!$B$5:$BJ$14,COLUMN()+38,FALSE)</f>
        <v>#N/A</v>
      </c>
      <c r="O17" s="85" t="e">
        <f>VLOOKUP(Standings!$B17,'Dummy Standings'!$B$5:$BJ$14,COLUMN()+38,FALSE)</f>
        <v>#N/A</v>
      </c>
      <c r="P17" s="85" t="e">
        <f>VLOOKUP(Standings!$B17,'Dummy Standings'!$B$5:$BJ$14,COLUMN()+38,FALSE)</f>
        <v>#N/A</v>
      </c>
      <c r="Q17" s="85" t="e">
        <f>VLOOKUP(Standings!$B17,'Dummy Standings'!$B$5:$BJ$14,COLUMN()+38,FALSE)</f>
        <v>#N/A</v>
      </c>
      <c r="R17" s="85" t="e">
        <f>VLOOKUP(Standings!$B17,'Dummy Standings'!$B$5:$BJ$14,COLUMN()+38,FALSE)</f>
        <v>#N/A</v>
      </c>
      <c r="S17" s="85" t="e">
        <f>VLOOKUP(Standings!$B17,'Dummy Standings'!$B$5:$BJ$14,COLUMN()+38,FALSE)</f>
        <v>#N/A</v>
      </c>
      <c r="T17" s="85" t="e">
        <f>VLOOKUP(Standings!$B17,'Dummy Standings'!$B$5:$BJ$14,COLUMN()+38,FALSE)</f>
        <v>#N/A</v>
      </c>
      <c r="U17" s="85" t="e">
        <f>VLOOKUP(Standings!$B17,'Dummy Standings'!$B$5:$BJ$14,COLUMN()+38,FALSE)</f>
        <v>#N/A</v>
      </c>
      <c r="V17" s="85" t="e">
        <f>VLOOKUP(Standings!$B17,'Dummy Standings'!$B$5:$BJ$14,COLUMN()+38,FALSE)</f>
        <v>#N/A</v>
      </c>
      <c r="W17" s="85" t="e">
        <f>VLOOKUP(Standings!$B17,'Dummy Standings'!$B$5:$BJ$14,COLUMN()+38,FALSE)</f>
        <v>#N/A</v>
      </c>
    </row>
    <row r="18" spans="2:23" s="85" customFormat="1" ht="11.25">
      <c r="B18" s="85">
        <v>15</v>
      </c>
      <c r="C18" s="86" t="e">
        <f>VLOOKUP(Standings!$B18,'Dummy Standings'!$B$5:$BJ$14,2,FALSE)</f>
        <v>#N/A</v>
      </c>
      <c r="D18" s="86" t="e">
        <f t="shared" si="0"/>
        <v>#N/A</v>
      </c>
      <c r="E18" s="86" t="e">
        <f>VLOOKUP(Standings!$B18,'Dummy Standings'!$B$5:$BJ$14,3,FALSE)</f>
        <v>#N/A</v>
      </c>
      <c r="F18" s="85" t="e">
        <f>VLOOKUP(Standings!$B18,'Dummy Standings'!$B$5:$BJ$14,COLUMN()+38,FALSE)</f>
        <v>#N/A</v>
      </c>
      <c r="G18" s="85" t="e">
        <f>VLOOKUP(Standings!$B18,'Dummy Standings'!$B$5:$BJ$14,COLUMN()+38,FALSE)</f>
        <v>#N/A</v>
      </c>
      <c r="H18" s="85" t="e">
        <f>VLOOKUP(Standings!$B18,'Dummy Standings'!$B$5:$BJ$14,COLUMN()+38,FALSE)</f>
        <v>#N/A</v>
      </c>
      <c r="I18" s="85" t="e">
        <f>VLOOKUP(Standings!$B18,'Dummy Standings'!$B$5:$BJ$14,COLUMN()+38,FALSE)</f>
        <v>#N/A</v>
      </c>
      <c r="J18" s="85" t="e">
        <f>VLOOKUP(Standings!$B18,'Dummy Standings'!$B$5:$BJ$14,COLUMN()+38,FALSE)</f>
        <v>#N/A</v>
      </c>
      <c r="K18" s="85" t="e">
        <f>VLOOKUP(Standings!$B18,'Dummy Standings'!$B$5:$BJ$14,COLUMN()+38,FALSE)</f>
        <v>#N/A</v>
      </c>
      <c r="L18" s="85" t="e">
        <f>VLOOKUP(Standings!$B18,'Dummy Standings'!$B$5:$BJ$14,COLUMN()+38,FALSE)</f>
        <v>#N/A</v>
      </c>
      <c r="M18" s="85" t="e">
        <f>VLOOKUP(Standings!$B18,'Dummy Standings'!$B$5:$BJ$14,COLUMN()+38,FALSE)</f>
        <v>#N/A</v>
      </c>
      <c r="N18" s="85" t="e">
        <f>VLOOKUP(Standings!$B18,'Dummy Standings'!$B$5:$BJ$14,COLUMN()+38,FALSE)</f>
        <v>#N/A</v>
      </c>
      <c r="O18" s="85" t="e">
        <f>VLOOKUP(Standings!$B18,'Dummy Standings'!$B$5:$BJ$14,COLUMN()+38,FALSE)</f>
        <v>#N/A</v>
      </c>
      <c r="P18" s="85" t="e">
        <f>VLOOKUP(Standings!$B18,'Dummy Standings'!$B$5:$BJ$14,COLUMN()+38,FALSE)</f>
        <v>#N/A</v>
      </c>
      <c r="Q18" s="85" t="e">
        <f>VLOOKUP(Standings!$B18,'Dummy Standings'!$B$5:$BJ$14,COLUMN()+38,FALSE)</f>
        <v>#N/A</v>
      </c>
      <c r="R18" s="85" t="e">
        <f>VLOOKUP(Standings!$B18,'Dummy Standings'!$B$5:$BJ$14,COLUMN()+38,FALSE)</f>
        <v>#N/A</v>
      </c>
      <c r="S18" s="85" t="e">
        <f>VLOOKUP(Standings!$B18,'Dummy Standings'!$B$5:$BJ$14,COLUMN()+38,FALSE)</f>
        <v>#N/A</v>
      </c>
      <c r="T18" s="85" t="e">
        <f>VLOOKUP(Standings!$B18,'Dummy Standings'!$B$5:$BJ$14,COLUMN()+38,FALSE)</f>
        <v>#N/A</v>
      </c>
      <c r="U18" s="85" t="e">
        <f>VLOOKUP(Standings!$B18,'Dummy Standings'!$B$5:$BJ$14,COLUMN()+38,FALSE)</f>
        <v>#N/A</v>
      </c>
      <c r="V18" s="85" t="e">
        <f>VLOOKUP(Standings!$B18,'Dummy Standings'!$B$5:$BJ$14,COLUMN()+38,FALSE)</f>
        <v>#N/A</v>
      </c>
      <c r="W18" s="85" t="e">
        <f>VLOOKUP(Standings!$B18,'Dummy Standings'!$B$5:$BJ$14,COLUMN()+38,FALSE)</f>
        <v>#N/A</v>
      </c>
    </row>
    <row r="19" spans="2:23" s="85" customFormat="1" ht="11.25">
      <c r="B19" s="85">
        <v>16</v>
      </c>
      <c r="C19" s="86" t="e">
        <f>VLOOKUP(Standings!$B19,'Dummy Standings'!$B$5:$BJ$14,2,FALSE)</f>
        <v>#N/A</v>
      </c>
      <c r="D19" s="86" t="e">
        <f t="shared" si="0"/>
        <v>#N/A</v>
      </c>
      <c r="E19" s="86" t="e">
        <f>VLOOKUP(Standings!$B19,'Dummy Standings'!$B$5:$BJ$14,3,FALSE)</f>
        <v>#N/A</v>
      </c>
      <c r="F19" s="85" t="e">
        <f>VLOOKUP(Standings!$B19,'Dummy Standings'!$B$5:$BJ$14,COLUMN()+38,FALSE)</f>
        <v>#N/A</v>
      </c>
      <c r="G19" s="85" t="e">
        <f>VLOOKUP(Standings!$B19,'Dummy Standings'!$B$5:$BJ$14,COLUMN()+38,FALSE)</f>
        <v>#N/A</v>
      </c>
      <c r="H19" s="85" t="e">
        <f>VLOOKUP(Standings!$B19,'Dummy Standings'!$B$5:$BJ$14,COLUMN()+38,FALSE)</f>
        <v>#N/A</v>
      </c>
      <c r="I19" s="85" t="e">
        <f>VLOOKUP(Standings!$B19,'Dummy Standings'!$B$5:$BJ$14,COLUMN()+38,FALSE)</f>
        <v>#N/A</v>
      </c>
      <c r="J19" s="85" t="e">
        <f>VLOOKUP(Standings!$B19,'Dummy Standings'!$B$5:$BJ$14,COLUMN()+38,FALSE)</f>
        <v>#N/A</v>
      </c>
      <c r="K19" s="85" t="e">
        <f>VLOOKUP(Standings!$B19,'Dummy Standings'!$B$5:$BJ$14,COLUMN()+38,FALSE)</f>
        <v>#N/A</v>
      </c>
      <c r="L19" s="85" t="e">
        <f>VLOOKUP(Standings!$B19,'Dummy Standings'!$B$5:$BJ$14,COLUMN()+38,FALSE)</f>
        <v>#N/A</v>
      </c>
      <c r="M19" s="85" t="e">
        <f>VLOOKUP(Standings!$B19,'Dummy Standings'!$B$5:$BJ$14,COLUMN()+38,FALSE)</f>
        <v>#N/A</v>
      </c>
      <c r="N19" s="85" t="e">
        <f>VLOOKUP(Standings!$B19,'Dummy Standings'!$B$5:$BJ$14,COLUMN()+38,FALSE)</f>
        <v>#N/A</v>
      </c>
      <c r="O19" s="85" t="e">
        <f>VLOOKUP(Standings!$B19,'Dummy Standings'!$B$5:$BJ$14,COLUMN()+38,FALSE)</f>
        <v>#N/A</v>
      </c>
      <c r="P19" s="85" t="e">
        <f>VLOOKUP(Standings!$B19,'Dummy Standings'!$B$5:$BJ$14,COLUMN()+38,FALSE)</f>
        <v>#N/A</v>
      </c>
      <c r="Q19" s="85" t="e">
        <f>VLOOKUP(Standings!$B19,'Dummy Standings'!$B$5:$BJ$14,COLUMN()+38,FALSE)</f>
        <v>#N/A</v>
      </c>
      <c r="R19" s="85" t="e">
        <f>VLOOKUP(Standings!$B19,'Dummy Standings'!$B$5:$BJ$14,COLUMN()+38,FALSE)</f>
        <v>#N/A</v>
      </c>
      <c r="S19" s="85" t="e">
        <f>VLOOKUP(Standings!$B19,'Dummy Standings'!$B$5:$BJ$14,COLUMN()+38,FALSE)</f>
        <v>#N/A</v>
      </c>
      <c r="T19" s="85" t="e">
        <f>VLOOKUP(Standings!$B19,'Dummy Standings'!$B$5:$BJ$14,COLUMN()+38,FALSE)</f>
        <v>#N/A</v>
      </c>
      <c r="U19" s="85" t="e">
        <f>VLOOKUP(Standings!$B19,'Dummy Standings'!$B$5:$BJ$14,COLUMN()+38,FALSE)</f>
        <v>#N/A</v>
      </c>
      <c r="V19" s="85" t="e">
        <f>VLOOKUP(Standings!$B19,'Dummy Standings'!$B$5:$BJ$14,COLUMN()+38,FALSE)</f>
        <v>#N/A</v>
      </c>
      <c r="W19" s="85" t="e">
        <f>VLOOKUP(Standings!$B19,'Dummy Standings'!$B$5:$BJ$14,COLUMN()+38,FALSE)</f>
        <v>#N/A</v>
      </c>
    </row>
    <row r="20" spans="2:23" s="85" customFormat="1" ht="11.25">
      <c r="B20" s="85">
        <v>17</v>
      </c>
      <c r="C20" s="86" t="e">
        <f>VLOOKUP(Standings!$B20,'Dummy Standings'!$B$5:$BJ$14,2,FALSE)</f>
        <v>#N/A</v>
      </c>
      <c r="D20" s="86" t="e">
        <f t="shared" si="0"/>
        <v>#N/A</v>
      </c>
      <c r="E20" s="86" t="e">
        <f>VLOOKUP(Standings!$B20,'Dummy Standings'!$B$5:$BJ$14,3,FALSE)</f>
        <v>#N/A</v>
      </c>
      <c r="F20" s="85" t="e">
        <f>VLOOKUP(Standings!$B20,'Dummy Standings'!$B$5:$BJ$14,COLUMN()+38,FALSE)</f>
        <v>#N/A</v>
      </c>
      <c r="G20" s="85" t="e">
        <f>VLOOKUP(Standings!$B20,'Dummy Standings'!$B$5:$BJ$14,COLUMN()+38,FALSE)</f>
        <v>#N/A</v>
      </c>
      <c r="H20" s="85" t="e">
        <f>VLOOKUP(Standings!$B20,'Dummy Standings'!$B$5:$BJ$14,COLUMN()+38,FALSE)</f>
        <v>#N/A</v>
      </c>
      <c r="I20" s="85" t="e">
        <f>VLOOKUP(Standings!$B20,'Dummy Standings'!$B$5:$BJ$14,COLUMN()+38,FALSE)</f>
        <v>#N/A</v>
      </c>
      <c r="J20" s="85" t="e">
        <f>VLOOKUP(Standings!$B20,'Dummy Standings'!$B$5:$BJ$14,COLUMN()+38,FALSE)</f>
        <v>#N/A</v>
      </c>
      <c r="K20" s="85" t="e">
        <f>VLOOKUP(Standings!$B20,'Dummy Standings'!$B$5:$BJ$14,COLUMN()+38,FALSE)</f>
        <v>#N/A</v>
      </c>
      <c r="L20" s="85" t="e">
        <f>VLOOKUP(Standings!$B20,'Dummy Standings'!$B$5:$BJ$14,COLUMN()+38,FALSE)</f>
        <v>#N/A</v>
      </c>
      <c r="M20" s="85" t="e">
        <f>VLOOKUP(Standings!$B20,'Dummy Standings'!$B$5:$BJ$14,COLUMN()+38,FALSE)</f>
        <v>#N/A</v>
      </c>
      <c r="N20" s="85" t="e">
        <f>VLOOKUP(Standings!$B20,'Dummy Standings'!$B$5:$BJ$14,COLUMN()+38,FALSE)</f>
        <v>#N/A</v>
      </c>
      <c r="O20" s="85" t="e">
        <f>VLOOKUP(Standings!$B20,'Dummy Standings'!$B$5:$BJ$14,COLUMN()+38,FALSE)</f>
        <v>#N/A</v>
      </c>
      <c r="P20" s="85" t="e">
        <f>VLOOKUP(Standings!$B20,'Dummy Standings'!$B$5:$BJ$14,COLUMN()+38,FALSE)</f>
        <v>#N/A</v>
      </c>
      <c r="Q20" s="85" t="e">
        <f>VLOOKUP(Standings!$B20,'Dummy Standings'!$B$5:$BJ$14,COLUMN()+38,FALSE)</f>
        <v>#N/A</v>
      </c>
      <c r="R20" s="85" t="e">
        <f>VLOOKUP(Standings!$B20,'Dummy Standings'!$B$5:$BJ$14,COLUMN()+38,FALSE)</f>
        <v>#N/A</v>
      </c>
      <c r="S20" s="85" t="e">
        <f>VLOOKUP(Standings!$B20,'Dummy Standings'!$B$5:$BJ$14,COLUMN()+38,FALSE)</f>
        <v>#N/A</v>
      </c>
      <c r="T20" s="85" t="e">
        <f>VLOOKUP(Standings!$B20,'Dummy Standings'!$B$5:$BJ$14,COLUMN()+38,FALSE)</f>
        <v>#N/A</v>
      </c>
      <c r="U20" s="85" t="e">
        <f>VLOOKUP(Standings!$B20,'Dummy Standings'!$B$5:$BJ$14,COLUMN()+38,FALSE)</f>
        <v>#N/A</v>
      </c>
      <c r="V20" s="85" t="e">
        <f>VLOOKUP(Standings!$B20,'Dummy Standings'!$B$5:$BJ$14,COLUMN()+38,FALSE)</f>
        <v>#N/A</v>
      </c>
      <c r="W20" s="85" t="e">
        <f>VLOOKUP(Standings!$B20,'Dummy Standings'!$B$5:$BJ$14,COLUMN()+38,FALSE)</f>
        <v>#N/A</v>
      </c>
    </row>
    <row r="21" spans="2:23" s="85" customFormat="1" ht="11.25">
      <c r="B21" s="85">
        <v>18</v>
      </c>
      <c r="C21" s="86" t="e">
        <f>VLOOKUP(Standings!$B21,'Dummy Standings'!$B$5:$BJ$14,2,FALSE)</f>
        <v>#N/A</v>
      </c>
      <c r="D21" s="86" t="e">
        <f t="shared" si="0"/>
        <v>#N/A</v>
      </c>
      <c r="E21" s="86" t="e">
        <f>VLOOKUP(Standings!$B21,'Dummy Standings'!$B$5:$BJ$14,3,FALSE)</f>
        <v>#N/A</v>
      </c>
      <c r="F21" s="85" t="e">
        <f>VLOOKUP(Standings!$B21,'Dummy Standings'!$B$5:$BJ$14,COLUMN()+38,FALSE)</f>
        <v>#N/A</v>
      </c>
      <c r="G21" s="85" t="e">
        <f>VLOOKUP(Standings!$B21,'Dummy Standings'!$B$5:$BJ$14,COLUMN()+38,FALSE)</f>
        <v>#N/A</v>
      </c>
      <c r="H21" s="85" t="e">
        <f>VLOOKUP(Standings!$B21,'Dummy Standings'!$B$5:$BJ$14,COLUMN()+38,FALSE)</f>
        <v>#N/A</v>
      </c>
      <c r="I21" s="85" t="e">
        <f>VLOOKUP(Standings!$B21,'Dummy Standings'!$B$5:$BJ$14,COLUMN()+38,FALSE)</f>
        <v>#N/A</v>
      </c>
      <c r="J21" s="85" t="e">
        <f>VLOOKUP(Standings!$B21,'Dummy Standings'!$B$5:$BJ$14,COLUMN()+38,FALSE)</f>
        <v>#N/A</v>
      </c>
      <c r="K21" s="85" t="e">
        <f>VLOOKUP(Standings!$B21,'Dummy Standings'!$B$5:$BJ$14,COLUMN()+38,FALSE)</f>
        <v>#N/A</v>
      </c>
      <c r="L21" s="85" t="e">
        <f>VLOOKUP(Standings!$B21,'Dummy Standings'!$B$5:$BJ$14,COLUMN()+38,FALSE)</f>
        <v>#N/A</v>
      </c>
      <c r="M21" s="85" t="e">
        <f>VLOOKUP(Standings!$B21,'Dummy Standings'!$B$5:$BJ$14,COLUMN()+38,FALSE)</f>
        <v>#N/A</v>
      </c>
      <c r="N21" s="85" t="e">
        <f>VLOOKUP(Standings!$B21,'Dummy Standings'!$B$5:$BJ$14,COLUMN()+38,FALSE)</f>
        <v>#N/A</v>
      </c>
      <c r="O21" s="85" t="e">
        <f>VLOOKUP(Standings!$B21,'Dummy Standings'!$B$5:$BJ$14,COLUMN()+38,FALSE)</f>
        <v>#N/A</v>
      </c>
      <c r="P21" s="85" t="e">
        <f>VLOOKUP(Standings!$B21,'Dummy Standings'!$B$5:$BJ$14,COLUMN()+38,FALSE)</f>
        <v>#N/A</v>
      </c>
      <c r="Q21" s="85" t="e">
        <f>VLOOKUP(Standings!$B21,'Dummy Standings'!$B$5:$BJ$14,COLUMN()+38,FALSE)</f>
        <v>#N/A</v>
      </c>
      <c r="R21" s="85" t="e">
        <f>VLOOKUP(Standings!$B21,'Dummy Standings'!$B$5:$BJ$14,COLUMN()+38,FALSE)</f>
        <v>#N/A</v>
      </c>
      <c r="S21" s="85" t="e">
        <f>VLOOKUP(Standings!$B21,'Dummy Standings'!$B$5:$BJ$14,COLUMN()+38,FALSE)</f>
        <v>#N/A</v>
      </c>
      <c r="T21" s="85" t="e">
        <f>VLOOKUP(Standings!$B21,'Dummy Standings'!$B$5:$BJ$14,COLUMN()+38,FALSE)</f>
        <v>#N/A</v>
      </c>
      <c r="U21" s="85" t="e">
        <f>VLOOKUP(Standings!$B21,'Dummy Standings'!$B$5:$BJ$14,COLUMN()+38,FALSE)</f>
        <v>#N/A</v>
      </c>
      <c r="V21" s="85" t="e">
        <f>VLOOKUP(Standings!$B21,'Dummy Standings'!$B$5:$BJ$14,COLUMN()+38,FALSE)</f>
        <v>#N/A</v>
      </c>
      <c r="W21" s="85" t="e">
        <f>VLOOKUP(Standings!$B21,'Dummy Standings'!$B$5:$BJ$14,COLUMN()+38,FALSE)</f>
        <v>#N/A</v>
      </c>
    </row>
    <row r="22" spans="2:23" s="85" customFormat="1" ht="11.25">
      <c r="B22" s="85">
        <v>19</v>
      </c>
      <c r="C22" s="86" t="e">
        <f>VLOOKUP(Standings!$B22,'Dummy Standings'!$B$5:$BJ$14,2,FALSE)</f>
        <v>#N/A</v>
      </c>
      <c r="D22" s="86" t="e">
        <f t="shared" si="0"/>
        <v>#N/A</v>
      </c>
      <c r="E22" s="86" t="e">
        <f>VLOOKUP(Standings!$B22,'Dummy Standings'!$B$5:$BJ$14,3,FALSE)</f>
        <v>#N/A</v>
      </c>
      <c r="F22" s="85" t="e">
        <f>VLOOKUP(Standings!$B22,'Dummy Standings'!$B$5:$BJ$14,COLUMN()+38,FALSE)</f>
        <v>#N/A</v>
      </c>
      <c r="G22" s="85" t="e">
        <f>VLOOKUP(Standings!$B22,'Dummy Standings'!$B$5:$BJ$14,COLUMN()+38,FALSE)</f>
        <v>#N/A</v>
      </c>
      <c r="H22" s="85" t="e">
        <f>VLOOKUP(Standings!$B22,'Dummy Standings'!$B$5:$BJ$14,COLUMN()+38,FALSE)</f>
        <v>#N/A</v>
      </c>
      <c r="I22" s="85" t="e">
        <f>VLOOKUP(Standings!$B22,'Dummy Standings'!$B$5:$BJ$14,COLUMN()+38,FALSE)</f>
        <v>#N/A</v>
      </c>
      <c r="J22" s="85" t="e">
        <f>VLOOKUP(Standings!$B22,'Dummy Standings'!$B$5:$BJ$14,COLUMN()+38,FALSE)</f>
        <v>#N/A</v>
      </c>
      <c r="K22" s="85" t="e">
        <f>VLOOKUP(Standings!$B22,'Dummy Standings'!$B$5:$BJ$14,COLUMN()+38,FALSE)</f>
        <v>#N/A</v>
      </c>
      <c r="L22" s="85" t="e">
        <f>VLOOKUP(Standings!$B22,'Dummy Standings'!$B$5:$BJ$14,COLUMN()+38,FALSE)</f>
        <v>#N/A</v>
      </c>
      <c r="M22" s="85" t="e">
        <f>VLOOKUP(Standings!$B22,'Dummy Standings'!$B$5:$BJ$14,COLUMN()+38,FALSE)</f>
        <v>#N/A</v>
      </c>
      <c r="N22" s="85" t="e">
        <f>VLOOKUP(Standings!$B22,'Dummy Standings'!$B$5:$BJ$14,COLUMN()+38,FALSE)</f>
        <v>#N/A</v>
      </c>
      <c r="O22" s="85" t="e">
        <f>VLOOKUP(Standings!$B22,'Dummy Standings'!$B$5:$BJ$14,COLUMN()+38,FALSE)</f>
        <v>#N/A</v>
      </c>
      <c r="P22" s="85" t="e">
        <f>VLOOKUP(Standings!$B22,'Dummy Standings'!$B$5:$BJ$14,COLUMN()+38,FALSE)</f>
        <v>#N/A</v>
      </c>
      <c r="Q22" s="85" t="e">
        <f>VLOOKUP(Standings!$B22,'Dummy Standings'!$B$5:$BJ$14,COLUMN()+38,FALSE)</f>
        <v>#N/A</v>
      </c>
      <c r="R22" s="85" t="e">
        <f>VLOOKUP(Standings!$B22,'Dummy Standings'!$B$5:$BJ$14,COLUMN()+38,FALSE)</f>
        <v>#N/A</v>
      </c>
      <c r="S22" s="85" t="e">
        <f>VLOOKUP(Standings!$B22,'Dummy Standings'!$B$5:$BJ$14,COLUMN()+38,FALSE)</f>
        <v>#N/A</v>
      </c>
      <c r="T22" s="85" t="e">
        <f>VLOOKUP(Standings!$B22,'Dummy Standings'!$B$5:$BJ$14,COLUMN()+38,FALSE)</f>
        <v>#N/A</v>
      </c>
      <c r="U22" s="85" t="e">
        <f>VLOOKUP(Standings!$B22,'Dummy Standings'!$B$5:$BJ$14,COLUMN()+38,FALSE)</f>
        <v>#N/A</v>
      </c>
      <c r="V22" s="85" t="e">
        <f>VLOOKUP(Standings!$B22,'Dummy Standings'!$B$5:$BJ$14,COLUMN()+38,FALSE)</f>
        <v>#N/A</v>
      </c>
      <c r="W22" s="85" t="e">
        <f>VLOOKUP(Standings!$B22,'Dummy Standings'!$B$5:$BJ$14,COLUMN()+38,FALSE)</f>
        <v>#N/A</v>
      </c>
    </row>
    <row r="23" spans="2:23" s="85" customFormat="1" ht="11.25">
      <c r="B23" s="85">
        <v>20</v>
      </c>
      <c r="C23" s="86" t="e">
        <f>VLOOKUP(Standings!$B23,'Dummy Standings'!$B$5:$BJ$14,2,FALSE)</f>
        <v>#N/A</v>
      </c>
      <c r="D23" s="86" t="e">
        <f t="shared" si="0"/>
        <v>#N/A</v>
      </c>
      <c r="E23" s="86" t="e">
        <f>VLOOKUP(Standings!$B23,'Dummy Standings'!$B$5:$BJ$14,3,FALSE)</f>
        <v>#N/A</v>
      </c>
      <c r="F23" s="85" t="e">
        <f>VLOOKUP(Standings!$B23,'Dummy Standings'!$B$5:$BJ$14,COLUMN()+38,FALSE)</f>
        <v>#N/A</v>
      </c>
      <c r="G23" s="85" t="e">
        <f>VLOOKUP(Standings!$B23,'Dummy Standings'!$B$5:$BJ$14,COLUMN()+38,FALSE)</f>
        <v>#N/A</v>
      </c>
      <c r="H23" s="85" t="e">
        <f>VLOOKUP(Standings!$B23,'Dummy Standings'!$B$5:$BJ$14,COLUMN()+38,FALSE)</f>
        <v>#N/A</v>
      </c>
      <c r="I23" s="85" t="e">
        <f>VLOOKUP(Standings!$B23,'Dummy Standings'!$B$5:$BJ$14,COLUMN()+38,FALSE)</f>
        <v>#N/A</v>
      </c>
      <c r="J23" s="85" t="e">
        <f>VLOOKUP(Standings!$B23,'Dummy Standings'!$B$5:$BJ$14,COLUMN()+38,FALSE)</f>
        <v>#N/A</v>
      </c>
      <c r="K23" s="85" t="e">
        <f>VLOOKUP(Standings!$B23,'Dummy Standings'!$B$5:$BJ$14,COLUMN()+38,FALSE)</f>
        <v>#N/A</v>
      </c>
      <c r="L23" s="85" t="e">
        <f>VLOOKUP(Standings!$B23,'Dummy Standings'!$B$5:$BJ$14,COLUMN()+38,FALSE)</f>
        <v>#N/A</v>
      </c>
      <c r="M23" s="85" t="e">
        <f>VLOOKUP(Standings!$B23,'Dummy Standings'!$B$5:$BJ$14,COLUMN()+38,FALSE)</f>
        <v>#N/A</v>
      </c>
      <c r="N23" s="85" t="e">
        <f>VLOOKUP(Standings!$B23,'Dummy Standings'!$B$5:$BJ$14,COLUMN()+38,FALSE)</f>
        <v>#N/A</v>
      </c>
      <c r="O23" s="85" t="e">
        <f>VLOOKUP(Standings!$B23,'Dummy Standings'!$B$5:$BJ$14,COLUMN()+38,FALSE)</f>
        <v>#N/A</v>
      </c>
      <c r="P23" s="85" t="e">
        <f>VLOOKUP(Standings!$B23,'Dummy Standings'!$B$5:$BJ$14,COLUMN()+38,FALSE)</f>
        <v>#N/A</v>
      </c>
      <c r="Q23" s="85" t="e">
        <f>VLOOKUP(Standings!$B23,'Dummy Standings'!$B$5:$BJ$14,COLUMN()+38,FALSE)</f>
        <v>#N/A</v>
      </c>
      <c r="R23" s="85" t="e">
        <f>VLOOKUP(Standings!$B23,'Dummy Standings'!$B$5:$BJ$14,COLUMN()+38,FALSE)</f>
        <v>#N/A</v>
      </c>
      <c r="S23" s="85" t="e">
        <f>VLOOKUP(Standings!$B23,'Dummy Standings'!$B$5:$BJ$14,COLUMN()+38,FALSE)</f>
        <v>#N/A</v>
      </c>
      <c r="T23" s="85" t="e">
        <f>VLOOKUP(Standings!$B23,'Dummy Standings'!$B$5:$BJ$14,COLUMN()+38,FALSE)</f>
        <v>#N/A</v>
      </c>
      <c r="U23" s="85" t="e">
        <f>VLOOKUP(Standings!$B23,'Dummy Standings'!$B$5:$BJ$14,COLUMN()+38,FALSE)</f>
        <v>#N/A</v>
      </c>
      <c r="V23" s="85" t="e">
        <f>VLOOKUP(Standings!$B23,'Dummy Standings'!$B$5:$BJ$14,COLUMN()+38,FALSE)</f>
        <v>#N/A</v>
      </c>
      <c r="W23" s="85" t="e">
        <f>VLOOKUP(Standings!$B23,'Dummy Standings'!$B$5:$BJ$14,COLUMN()+38,FALSE)</f>
        <v>#N/A</v>
      </c>
    </row>
    <row r="24" spans="2:23" s="85" customFormat="1" ht="11.25">
      <c r="B24" s="85">
        <v>21</v>
      </c>
      <c r="C24" s="86" t="e">
        <f>VLOOKUP(Standings!$B24,'Dummy Standings'!$B$5:$BJ$14,2,FALSE)</f>
        <v>#N/A</v>
      </c>
      <c r="D24" s="86" t="e">
        <f t="shared" si="0"/>
        <v>#N/A</v>
      </c>
      <c r="E24" s="86" t="e">
        <f>VLOOKUP(Standings!$B24,'Dummy Standings'!$B$5:$BJ$14,3,FALSE)</f>
        <v>#N/A</v>
      </c>
      <c r="F24" s="85" t="e">
        <f>VLOOKUP(Standings!$B24,'Dummy Standings'!$B$5:$BJ$14,COLUMN()+38,FALSE)</f>
        <v>#N/A</v>
      </c>
      <c r="G24" s="85" t="e">
        <f>VLOOKUP(Standings!$B24,'Dummy Standings'!$B$5:$BJ$14,COLUMN()+38,FALSE)</f>
        <v>#N/A</v>
      </c>
      <c r="H24" s="85" t="e">
        <f>VLOOKUP(Standings!$B24,'Dummy Standings'!$B$5:$BJ$14,COLUMN()+38,FALSE)</f>
        <v>#N/A</v>
      </c>
      <c r="I24" s="85" t="e">
        <f>VLOOKUP(Standings!$B24,'Dummy Standings'!$B$5:$BJ$14,COLUMN()+38,FALSE)</f>
        <v>#N/A</v>
      </c>
      <c r="J24" s="85" t="e">
        <f>VLOOKUP(Standings!$B24,'Dummy Standings'!$B$5:$BJ$14,COLUMN()+38,FALSE)</f>
        <v>#N/A</v>
      </c>
      <c r="K24" s="85" t="e">
        <f>VLOOKUP(Standings!$B24,'Dummy Standings'!$B$5:$BJ$14,COLUMN()+38,FALSE)</f>
        <v>#N/A</v>
      </c>
      <c r="L24" s="85" t="e">
        <f>VLOOKUP(Standings!$B24,'Dummy Standings'!$B$5:$BJ$14,COLUMN()+38,FALSE)</f>
        <v>#N/A</v>
      </c>
      <c r="M24" s="85" t="e">
        <f>VLOOKUP(Standings!$B24,'Dummy Standings'!$B$5:$BJ$14,COLUMN()+38,FALSE)</f>
        <v>#N/A</v>
      </c>
      <c r="N24" s="85" t="e">
        <f>VLOOKUP(Standings!$B24,'Dummy Standings'!$B$5:$BJ$14,COLUMN()+38,FALSE)</f>
        <v>#N/A</v>
      </c>
      <c r="O24" s="85" t="e">
        <f>VLOOKUP(Standings!$B24,'Dummy Standings'!$B$5:$BJ$14,COLUMN()+38,FALSE)</f>
        <v>#N/A</v>
      </c>
      <c r="P24" s="85" t="e">
        <f>VLOOKUP(Standings!$B24,'Dummy Standings'!$B$5:$BJ$14,COLUMN()+38,FALSE)</f>
        <v>#N/A</v>
      </c>
      <c r="Q24" s="85" t="e">
        <f>VLOOKUP(Standings!$B24,'Dummy Standings'!$B$5:$BJ$14,COLUMN()+38,FALSE)</f>
        <v>#N/A</v>
      </c>
      <c r="R24" s="85" t="e">
        <f>VLOOKUP(Standings!$B24,'Dummy Standings'!$B$5:$BJ$14,COLUMN()+38,FALSE)</f>
        <v>#N/A</v>
      </c>
      <c r="S24" s="85" t="e">
        <f>VLOOKUP(Standings!$B24,'Dummy Standings'!$B$5:$BJ$14,COLUMN()+38,FALSE)</f>
        <v>#N/A</v>
      </c>
      <c r="T24" s="85" t="e">
        <f>VLOOKUP(Standings!$B24,'Dummy Standings'!$B$5:$BJ$14,COLUMN()+38,FALSE)</f>
        <v>#N/A</v>
      </c>
      <c r="U24" s="85" t="e">
        <f>VLOOKUP(Standings!$B24,'Dummy Standings'!$B$5:$BJ$14,COLUMN()+38,FALSE)</f>
        <v>#N/A</v>
      </c>
      <c r="V24" s="85" t="e">
        <f>VLOOKUP(Standings!$B24,'Dummy Standings'!$B$5:$BJ$14,COLUMN()+38,FALSE)</f>
        <v>#N/A</v>
      </c>
      <c r="W24" s="85" t="e">
        <f>VLOOKUP(Standings!$B24,'Dummy Standings'!$B$5:$BJ$14,COLUMN()+38,FALSE)</f>
        <v>#N/A</v>
      </c>
    </row>
    <row r="25" spans="2:23" s="85" customFormat="1" ht="11.25">
      <c r="B25" s="85">
        <v>22</v>
      </c>
      <c r="C25" s="86" t="e">
        <f>VLOOKUP(Standings!$B25,'Dummy Standings'!$B$5:$BJ$14,2,FALSE)</f>
        <v>#N/A</v>
      </c>
      <c r="D25" s="86" t="e">
        <f t="shared" si="0"/>
        <v>#N/A</v>
      </c>
      <c r="E25" s="86" t="e">
        <f>VLOOKUP(Standings!$B25,'Dummy Standings'!$B$5:$BJ$14,3,FALSE)</f>
        <v>#N/A</v>
      </c>
      <c r="F25" s="85" t="e">
        <f>VLOOKUP(Standings!$B25,'Dummy Standings'!$B$5:$BJ$14,COLUMN()+38,FALSE)</f>
        <v>#N/A</v>
      </c>
      <c r="G25" s="85" t="e">
        <f>VLOOKUP(Standings!$B25,'Dummy Standings'!$B$5:$BJ$14,COLUMN()+38,FALSE)</f>
        <v>#N/A</v>
      </c>
      <c r="H25" s="85" t="e">
        <f>VLOOKUP(Standings!$B25,'Dummy Standings'!$B$5:$BJ$14,COLUMN()+38,FALSE)</f>
        <v>#N/A</v>
      </c>
      <c r="I25" s="85" t="e">
        <f>VLOOKUP(Standings!$B25,'Dummy Standings'!$B$5:$BJ$14,COLUMN()+38,FALSE)</f>
        <v>#N/A</v>
      </c>
      <c r="J25" s="85" t="e">
        <f>VLOOKUP(Standings!$B25,'Dummy Standings'!$B$5:$BJ$14,COLUMN()+38,FALSE)</f>
        <v>#N/A</v>
      </c>
      <c r="K25" s="85" t="e">
        <f>VLOOKUP(Standings!$B25,'Dummy Standings'!$B$5:$BJ$14,COLUMN()+38,FALSE)</f>
        <v>#N/A</v>
      </c>
      <c r="L25" s="85" t="e">
        <f>VLOOKUP(Standings!$B25,'Dummy Standings'!$B$5:$BJ$14,COLUMN()+38,FALSE)</f>
        <v>#N/A</v>
      </c>
      <c r="M25" s="85" t="e">
        <f>VLOOKUP(Standings!$B25,'Dummy Standings'!$B$5:$BJ$14,COLUMN()+38,FALSE)</f>
        <v>#N/A</v>
      </c>
      <c r="N25" s="85" t="e">
        <f>VLOOKUP(Standings!$B25,'Dummy Standings'!$B$5:$BJ$14,COLUMN()+38,FALSE)</f>
        <v>#N/A</v>
      </c>
      <c r="O25" s="85" t="e">
        <f>VLOOKUP(Standings!$B25,'Dummy Standings'!$B$5:$BJ$14,COLUMN()+38,FALSE)</f>
        <v>#N/A</v>
      </c>
      <c r="P25" s="85" t="e">
        <f>VLOOKUP(Standings!$B25,'Dummy Standings'!$B$5:$BJ$14,COLUMN()+38,FALSE)</f>
        <v>#N/A</v>
      </c>
      <c r="Q25" s="85" t="e">
        <f>VLOOKUP(Standings!$B25,'Dummy Standings'!$B$5:$BJ$14,COLUMN()+38,FALSE)</f>
        <v>#N/A</v>
      </c>
      <c r="R25" s="85" t="e">
        <f>VLOOKUP(Standings!$B25,'Dummy Standings'!$B$5:$BJ$14,COLUMN()+38,FALSE)</f>
        <v>#N/A</v>
      </c>
      <c r="S25" s="85" t="e">
        <f>VLOOKUP(Standings!$B25,'Dummy Standings'!$B$5:$BJ$14,COLUMN()+38,FALSE)</f>
        <v>#N/A</v>
      </c>
      <c r="T25" s="85" t="e">
        <f>VLOOKUP(Standings!$B25,'Dummy Standings'!$B$5:$BJ$14,COLUMN()+38,FALSE)</f>
        <v>#N/A</v>
      </c>
      <c r="U25" s="85" t="e">
        <f>VLOOKUP(Standings!$B25,'Dummy Standings'!$B$5:$BJ$14,COLUMN()+38,FALSE)</f>
        <v>#N/A</v>
      </c>
      <c r="V25" s="85" t="e">
        <f>VLOOKUP(Standings!$B25,'Dummy Standings'!$B$5:$BJ$14,COLUMN()+38,FALSE)</f>
        <v>#N/A</v>
      </c>
      <c r="W25" s="85" t="e">
        <f>VLOOKUP(Standings!$B25,'Dummy Standings'!$B$5:$BJ$14,COLUMN()+38,FALSE)</f>
        <v>#N/A</v>
      </c>
    </row>
    <row r="26" spans="2:23" s="85" customFormat="1" ht="11.25">
      <c r="B26" s="85">
        <v>23</v>
      </c>
      <c r="C26" s="86" t="e">
        <f>VLOOKUP(Standings!$B26,'Dummy Standings'!$B$5:$BJ$14,2,FALSE)</f>
        <v>#N/A</v>
      </c>
      <c r="D26" s="86" t="e">
        <f t="shared" si="0"/>
        <v>#N/A</v>
      </c>
      <c r="E26" s="86" t="e">
        <f>VLOOKUP(Standings!$B26,'Dummy Standings'!$B$5:$BJ$14,3,FALSE)</f>
        <v>#N/A</v>
      </c>
      <c r="F26" s="85" t="e">
        <f>VLOOKUP(Standings!$B26,'Dummy Standings'!$B$5:$BJ$14,COLUMN()+38,FALSE)</f>
        <v>#N/A</v>
      </c>
      <c r="G26" s="85" t="e">
        <f>VLOOKUP(Standings!$B26,'Dummy Standings'!$B$5:$BJ$14,COLUMN()+38,FALSE)</f>
        <v>#N/A</v>
      </c>
      <c r="H26" s="85" t="e">
        <f>VLOOKUP(Standings!$B26,'Dummy Standings'!$B$5:$BJ$14,COLUMN()+38,FALSE)</f>
        <v>#N/A</v>
      </c>
      <c r="I26" s="85" t="e">
        <f>VLOOKUP(Standings!$B26,'Dummy Standings'!$B$5:$BJ$14,COLUMN()+38,FALSE)</f>
        <v>#N/A</v>
      </c>
      <c r="J26" s="85" t="e">
        <f>VLOOKUP(Standings!$B26,'Dummy Standings'!$B$5:$BJ$14,COLUMN()+38,FALSE)</f>
        <v>#N/A</v>
      </c>
      <c r="K26" s="85" t="e">
        <f>VLOOKUP(Standings!$B26,'Dummy Standings'!$B$5:$BJ$14,COLUMN()+38,FALSE)</f>
        <v>#N/A</v>
      </c>
      <c r="L26" s="85" t="e">
        <f>VLOOKUP(Standings!$B26,'Dummy Standings'!$B$5:$BJ$14,COLUMN()+38,FALSE)</f>
        <v>#N/A</v>
      </c>
      <c r="M26" s="85" t="e">
        <f>VLOOKUP(Standings!$B26,'Dummy Standings'!$B$5:$BJ$14,COLUMN()+38,FALSE)</f>
        <v>#N/A</v>
      </c>
      <c r="N26" s="85" t="e">
        <f>VLOOKUP(Standings!$B26,'Dummy Standings'!$B$5:$BJ$14,COLUMN()+38,FALSE)</f>
        <v>#N/A</v>
      </c>
      <c r="O26" s="85" t="e">
        <f>VLOOKUP(Standings!$B26,'Dummy Standings'!$B$5:$BJ$14,COLUMN()+38,FALSE)</f>
        <v>#N/A</v>
      </c>
      <c r="P26" s="85" t="e">
        <f>VLOOKUP(Standings!$B26,'Dummy Standings'!$B$5:$BJ$14,COLUMN()+38,FALSE)</f>
        <v>#N/A</v>
      </c>
      <c r="Q26" s="85" t="e">
        <f>VLOOKUP(Standings!$B26,'Dummy Standings'!$B$5:$BJ$14,COLUMN()+38,FALSE)</f>
        <v>#N/A</v>
      </c>
      <c r="R26" s="85" t="e">
        <f>VLOOKUP(Standings!$B26,'Dummy Standings'!$B$5:$BJ$14,COLUMN()+38,FALSE)</f>
        <v>#N/A</v>
      </c>
      <c r="S26" s="85" t="e">
        <f>VLOOKUP(Standings!$B26,'Dummy Standings'!$B$5:$BJ$14,COLUMN()+38,FALSE)</f>
        <v>#N/A</v>
      </c>
      <c r="T26" s="85" t="e">
        <f>VLOOKUP(Standings!$B26,'Dummy Standings'!$B$5:$BJ$14,COLUMN()+38,FALSE)</f>
        <v>#N/A</v>
      </c>
      <c r="U26" s="85" t="e">
        <f>VLOOKUP(Standings!$B26,'Dummy Standings'!$B$5:$BJ$14,COLUMN()+38,FALSE)</f>
        <v>#N/A</v>
      </c>
      <c r="V26" s="85" t="e">
        <f>VLOOKUP(Standings!$B26,'Dummy Standings'!$B$5:$BJ$14,COLUMN()+38,FALSE)</f>
        <v>#N/A</v>
      </c>
      <c r="W26" s="85" t="e">
        <f>VLOOKUP(Standings!$B26,'Dummy Standings'!$B$5:$BJ$14,COLUMN()+38,FALSE)</f>
        <v>#N/A</v>
      </c>
    </row>
    <row r="27" spans="2:23" s="85" customFormat="1" ht="11.25">
      <c r="B27" s="85">
        <v>24</v>
      </c>
      <c r="C27" s="86" t="e">
        <f>VLOOKUP(Standings!$B27,'Dummy Standings'!$B$5:$BJ$14,2,FALSE)</f>
        <v>#N/A</v>
      </c>
      <c r="D27" s="86" t="e">
        <f t="shared" si="0"/>
        <v>#N/A</v>
      </c>
      <c r="E27" s="86" t="e">
        <f>VLOOKUP(Standings!$B27,'Dummy Standings'!$B$5:$BJ$14,3,FALSE)</f>
        <v>#N/A</v>
      </c>
      <c r="F27" s="85" t="e">
        <f>VLOOKUP(Standings!$B27,'Dummy Standings'!$B$5:$BJ$14,COLUMN()+38,FALSE)</f>
        <v>#N/A</v>
      </c>
      <c r="G27" s="85" t="e">
        <f>VLOOKUP(Standings!$B27,'Dummy Standings'!$B$5:$BJ$14,COLUMN()+38,FALSE)</f>
        <v>#N/A</v>
      </c>
      <c r="H27" s="85" t="e">
        <f>VLOOKUP(Standings!$B27,'Dummy Standings'!$B$5:$BJ$14,COLUMN()+38,FALSE)</f>
        <v>#N/A</v>
      </c>
      <c r="I27" s="85" t="e">
        <f>VLOOKUP(Standings!$B27,'Dummy Standings'!$B$5:$BJ$14,COLUMN()+38,FALSE)</f>
        <v>#N/A</v>
      </c>
      <c r="J27" s="85" t="e">
        <f>VLOOKUP(Standings!$B27,'Dummy Standings'!$B$5:$BJ$14,COLUMN()+38,FALSE)</f>
        <v>#N/A</v>
      </c>
      <c r="K27" s="85" t="e">
        <f>VLOOKUP(Standings!$B27,'Dummy Standings'!$B$5:$BJ$14,COLUMN()+38,FALSE)</f>
        <v>#N/A</v>
      </c>
      <c r="L27" s="85" t="e">
        <f>VLOOKUP(Standings!$B27,'Dummy Standings'!$B$5:$BJ$14,COLUMN()+38,FALSE)</f>
        <v>#N/A</v>
      </c>
      <c r="M27" s="85" t="e">
        <f>VLOOKUP(Standings!$B27,'Dummy Standings'!$B$5:$BJ$14,COLUMN()+38,FALSE)</f>
        <v>#N/A</v>
      </c>
      <c r="N27" s="85" t="e">
        <f>VLOOKUP(Standings!$B27,'Dummy Standings'!$B$5:$BJ$14,COLUMN()+38,FALSE)</f>
        <v>#N/A</v>
      </c>
      <c r="O27" s="85" t="e">
        <f>VLOOKUP(Standings!$B27,'Dummy Standings'!$B$5:$BJ$14,COLUMN()+38,FALSE)</f>
        <v>#N/A</v>
      </c>
      <c r="P27" s="85" t="e">
        <f>VLOOKUP(Standings!$B27,'Dummy Standings'!$B$5:$BJ$14,COLUMN()+38,FALSE)</f>
        <v>#N/A</v>
      </c>
      <c r="Q27" s="85" t="e">
        <f>VLOOKUP(Standings!$B27,'Dummy Standings'!$B$5:$BJ$14,COLUMN()+38,FALSE)</f>
        <v>#N/A</v>
      </c>
      <c r="R27" s="85" t="e">
        <f>VLOOKUP(Standings!$B27,'Dummy Standings'!$B$5:$BJ$14,COLUMN()+38,FALSE)</f>
        <v>#N/A</v>
      </c>
      <c r="S27" s="85" t="e">
        <f>VLOOKUP(Standings!$B27,'Dummy Standings'!$B$5:$BJ$14,COLUMN()+38,FALSE)</f>
        <v>#N/A</v>
      </c>
      <c r="T27" s="85" t="e">
        <f>VLOOKUP(Standings!$B27,'Dummy Standings'!$B$5:$BJ$14,COLUMN()+38,FALSE)</f>
        <v>#N/A</v>
      </c>
      <c r="U27" s="85" t="e">
        <f>VLOOKUP(Standings!$B27,'Dummy Standings'!$B$5:$BJ$14,COLUMN()+38,FALSE)</f>
        <v>#N/A</v>
      </c>
      <c r="V27" s="85" t="e">
        <f>VLOOKUP(Standings!$B27,'Dummy Standings'!$B$5:$BJ$14,COLUMN()+38,FALSE)</f>
        <v>#N/A</v>
      </c>
      <c r="W27" s="85" t="e">
        <f>VLOOKUP(Standings!$B27,'Dummy Standings'!$B$5:$BJ$14,COLUMN()+38,FALSE)</f>
        <v>#N/A</v>
      </c>
    </row>
    <row r="28" spans="2:23" s="85" customFormat="1" ht="11.25">
      <c r="B28" s="85">
        <v>25</v>
      </c>
      <c r="C28" s="86" t="e">
        <f>VLOOKUP(Standings!$B28,'Dummy Standings'!$B$5:$BJ$14,2,FALSE)</f>
        <v>#N/A</v>
      </c>
      <c r="D28" s="86" t="e">
        <f t="shared" si="0"/>
        <v>#N/A</v>
      </c>
      <c r="E28" s="86" t="e">
        <f>VLOOKUP(Standings!$B28,'Dummy Standings'!$B$5:$BJ$14,3,FALSE)</f>
        <v>#N/A</v>
      </c>
      <c r="F28" s="85" t="e">
        <f>VLOOKUP(Standings!$B28,'Dummy Standings'!$B$5:$BJ$14,COLUMN()+38,FALSE)</f>
        <v>#N/A</v>
      </c>
      <c r="G28" s="85" t="e">
        <f>VLOOKUP(Standings!$B28,'Dummy Standings'!$B$5:$BJ$14,COLUMN()+38,FALSE)</f>
        <v>#N/A</v>
      </c>
      <c r="H28" s="85" t="e">
        <f>VLOOKUP(Standings!$B28,'Dummy Standings'!$B$5:$BJ$14,COLUMN()+38,FALSE)</f>
        <v>#N/A</v>
      </c>
      <c r="I28" s="85" t="e">
        <f>VLOOKUP(Standings!$B28,'Dummy Standings'!$B$5:$BJ$14,COLUMN()+38,FALSE)</f>
        <v>#N/A</v>
      </c>
      <c r="J28" s="85" t="e">
        <f>VLOOKUP(Standings!$B28,'Dummy Standings'!$B$5:$BJ$14,COLUMN()+38,FALSE)</f>
        <v>#N/A</v>
      </c>
      <c r="K28" s="85" t="e">
        <f>VLOOKUP(Standings!$B28,'Dummy Standings'!$B$5:$BJ$14,COLUMN()+38,FALSE)</f>
        <v>#N/A</v>
      </c>
      <c r="L28" s="85" t="e">
        <f>VLOOKUP(Standings!$B28,'Dummy Standings'!$B$5:$BJ$14,COLUMN()+38,FALSE)</f>
        <v>#N/A</v>
      </c>
      <c r="M28" s="85" t="e">
        <f>VLOOKUP(Standings!$B28,'Dummy Standings'!$B$5:$BJ$14,COLUMN()+38,FALSE)</f>
        <v>#N/A</v>
      </c>
      <c r="N28" s="85" t="e">
        <f>VLOOKUP(Standings!$B28,'Dummy Standings'!$B$5:$BJ$14,COLUMN()+38,FALSE)</f>
        <v>#N/A</v>
      </c>
      <c r="O28" s="85" t="e">
        <f>VLOOKUP(Standings!$B28,'Dummy Standings'!$B$5:$BJ$14,COLUMN()+38,FALSE)</f>
        <v>#N/A</v>
      </c>
      <c r="P28" s="85" t="e">
        <f>VLOOKUP(Standings!$B28,'Dummy Standings'!$B$5:$BJ$14,COLUMN()+38,FALSE)</f>
        <v>#N/A</v>
      </c>
      <c r="Q28" s="85" t="e">
        <f>VLOOKUP(Standings!$B28,'Dummy Standings'!$B$5:$BJ$14,COLUMN()+38,FALSE)</f>
        <v>#N/A</v>
      </c>
      <c r="R28" s="85" t="e">
        <f>VLOOKUP(Standings!$B28,'Dummy Standings'!$B$5:$BJ$14,COLUMN()+38,FALSE)</f>
        <v>#N/A</v>
      </c>
      <c r="S28" s="85" t="e">
        <f>VLOOKUP(Standings!$B28,'Dummy Standings'!$B$5:$BJ$14,COLUMN()+38,FALSE)</f>
        <v>#N/A</v>
      </c>
      <c r="T28" s="85" t="e">
        <f>VLOOKUP(Standings!$B28,'Dummy Standings'!$B$5:$BJ$14,COLUMN()+38,FALSE)</f>
        <v>#N/A</v>
      </c>
      <c r="U28" s="85" t="e">
        <f>VLOOKUP(Standings!$B28,'Dummy Standings'!$B$5:$BJ$14,COLUMN()+38,FALSE)</f>
        <v>#N/A</v>
      </c>
      <c r="V28" s="85" t="e">
        <f>VLOOKUP(Standings!$B28,'Dummy Standings'!$B$5:$BJ$14,COLUMN()+38,FALSE)</f>
        <v>#N/A</v>
      </c>
      <c r="W28" s="85" t="e">
        <f>VLOOKUP(Standings!$B28,'Dummy Standings'!$B$5:$BJ$14,COLUMN()+38,FALSE)</f>
        <v>#N/A</v>
      </c>
    </row>
    <row r="29" spans="2:23" s="85" customFormat="1" ht="11.25">
      <c r="B29" s="85">
        <v>26</v>
      </c>
      <c r="C29" s="86" t="e">
        <f>VLOOKUP(Standings!$B29,'Dummy Standings'!$B$5:$BJ$14,2,FALSE)</f>
        <v>#N/A</v>
      </c>
      <c r="D29" s="86" t="e">
        <f t="shared" si="0"/>
        <v>#N/A</v>
      </c>
      <c r="E29" s="86" t="e">
        <f>VLOOKUP(Standings!$B29,'Dummy Standings'!$B$5:$BJ$14,3,FALSE)</f>
        <v>#N/A</v>
      </c>
      <c r="F29" s="85" t="e">
        <f>VLOOKUP(Standings!$B29,'Dummy Standings'!$B$5:$BJ$14,COLUMN()+38,FALSE)</f>
        <v>#N/A</v>
      </c>
      <c r="G29" s="85" t="e">
        <f>VLOOKUP(Standings!$B29,'Dummy Standings'!$B$5:$BJ$14,COLUMN()+38,FALSE)</f>
        <v>#N/A</v>
      </c>
      <c r="H29" s="85" t="e">
        <f>VLOOKUP(Standings!$B29,'Dummy Standings'!$B$5:$BJ$14,COLUMN()+38,FALSE)</f>
        <v>#N/A</v>
      </c>
      <c r="I29" s="85" t="e">
        <f>VLOOKUP(Standings!$B29,'Dummy Standings'!$B$5:$BJ$14,COLUMN()+38,FALSE)</f>
        <v>#N/A</v>
      </c>
      <c r="J29" s="85" t="e">
        <f>VLOOKUP(Standings!$B29,'Dummy Standings'!$B$5:$BJ$14,COLUMN()+38,FALSE)</f>
        <v>#N/A</v>
      </c>
      <c r="K29" s="85" t="e">
        <f>VLOOKUP(Standings!$B29,'Dummy Standings'!$B$5:$BJ$14,COLUMN()+38,FALSE)</f>
        <v>#N/A</v>
      </c>
      <c r="L29" s="85" t="e">
        <f>VLOOKUP(Standings!$B29,'Dummy Standings'!$B$5:$BJ$14,COLUMN()+38,FALSE)</f>
        <v>#N/A</v>
      </c>
      <c r="M29" s="85" t="e">
        <f>VLOOKUP(Standings!$B29,'Dummy Standings'!$B$5:$BJ$14,COLUMN()+38,FALSE)</f>
        <v>#N/A</v>
      </c>
      <c r="N29" s="85" t="e">
        <f>VLOOKUP(Standings!$B29,'Dummy Standings'!$B$5:$BJ$14,COLUMN()+38,FALSE)</f>
        <v>#N/A</v>
      </c>
      <c r="O29" s="85" t="e">
        <f>VLOOKUP(Standings!$B29,'Dummy Standings'!$B$5:$BJ$14,COLUMN()+38,FALSE)</f>
        <v>#N/A</v>
      </c>
      <c r="P29" s="85" t="e">
        <f>VLOOKUP(Standings!$B29,'Dummy Standings'!$B$5:$BJ$14,COLUMN()+38,FALSE)</f>
        <v>#N/A</v>
      </c>
      <c r="Q29" s="85" t="e">
        <f>VLOOKUP(Standings!$B29,'Dummy Standings'!$B$5:$BJ$14,COLUMN()+38,FALSE)</f>
        <v>#N/A</v>
      </c>
      <c r="R29" s="85" t="e">
        <f>VLOOKUP(Standings!$B29,'Dummy Standings'!$B$5:$BJ$14,COLUMN()+38,FALSE)</f>
        <v>#N/A</v>
      </c>
      <c r="S29" s="85" t="e">
        <f>VLOOKUP(Standings!$B29,'Dummy Standings'!$B$5:$BJ$14,COLUMN()+38,FALSE)</f>
        <v>#N/A</v>
      </c>
      <c r="T29" s="85" t="e">
        <f>VLOOKUP(Standings!$B29,'Dummy Standings'!$B$5:$BJ$14,COLUMN()+38,FALSE)</f>
        <v>#N/A</v>
      </c>
      <c r="U29" s="85" t="e">
        <f>VLOOKUP(Standings!$B29,'Dummy Standings'!$B$5:$BJ$14,COLUMN()+38,FALSE)</f>
        <v>#N/A</v>
      </c>
      <c r="V29" s="85" t="e">
        <f>VLOOKUP(Standings!$B29,'Dummy Standings'!$B$5:$BJ$14,COLUMN()+38,FALSE)</f>
        <v>#N/A</v>
      </c>
      <c r="W29" s="85" t="e">
        <f>VLOOKUP(Standings!$B29,'Dummy Standings'!$B$5:$BJ$14,COLUMN()+38,FALSE)</f>
        <v>#N/A</v>
      </c>
    </row>
    <row r="30" spans="2:23" s="85" customFormat="1" ht="11.25">
      <c r="B30" s="85">
        <v>27</v>
      </c>
      <c r="C30" s="86" t="e">
        <f>VLOOKUP(Standings!$B30,'Dummy Standings'!$B$5:$BJ$14,2,FALSE)</f>
        <v>#N/A</v>
      </c>
      <c r="D30" s="86" t="e">
        <f t="shared" si="0"/>
        <v>#N/A</v>
      </c>
      <c r="E30" s="86" t="e">
        <f>VLOOKUP(Standings!$B30,'Dummy Standings'!$B$5:$BJ$14,3,FALSE)</f>
        <v>#N/A</v>
      </c>
      <c r="F30" s="85" t="e">
        <f>VLOOKUP(Standings!$B30,'Dummy Standings'!$B$5:$BJ$14,COLUMN()+38,FALSE)</f>
        <v>#N/A</v>
      </c>
      <c r="G30" s="85" t="e">
        <f>VLOOKUP(Standings!$B30,'Dummy Standings'!$B$5:$BJ$14,COLUMN()+38,FALSE)</f>
        <v>#N/A</v>
      </c>
      <c r="H30" s="85" t="e">
        <f>VLOOKUP(Standings!$B30,'Dummy Standings'!$B$5:$BJ$14,COLUMN()+38,FALSE)</f>
        <v>#N/A</v>
      </c>
      <c r="I30" s="85" t="e">
        <f>VLOOKUP(Standings!$B30,'Dummy Standings'!$B$5:$BJ$14,COLUMN()+38,FALSE)</f>
        <v>#N/A</v>
      </c>
      <c r="J30" s="85" t="e">
        <f>VLOOKUP(Standings!$B30,'Dummy Standings'!$B$5:$BJ$14,COLUMN()+38,FALSE)</f>
        <v>#N/A</v>
      </c>
      <c r="K30" s="85" t="e">
        <f>VLOOKUP(Standings!$B30,'Dummy Standings'!$B$5:$BJ$14,COLUMN()+38,FALSE)</f>
        <v>#N/A</v>
      </c>
      <c r="L30" s="85" t="e">
        <f>VLOOKUP(Standings!$B30,'Dummy Standings'!$B$5:$BJ$14,COLUMN()+38,FALSE)</f>
        <v>#N/A</v>
      </c>
      <c r="M30" s="85" t="e">
        <f>VLOOKUP(Standings!$B30,'Dummy Standings'!$B$5:$BJ$14,COLUMN()+38,FALSE)</f>
        <v>#N/A</v>
      </c>
      <c r="N30" s="85" t="e">
        <f>VLOOKUP(Standings!$B30,'Dummy Standings'!$B$5:$BJ$14,COLUMN()+38,FALSE)</f>
        <v>#N/A</v>
      </c>
      <c r="O30" s="85" t="e">
        <f>VLOOKUP(Standings!$B30,'Dummy Standings'!$B$5:$BJ$14,COLUMN()+38,FALSE)</f>
        <v>#N/A</v>
      </c>
      <c r="P30" s="85" t="e">
        <f>VLOOKUP(Standings!$B30,'Dummy Standings'!$B$5:$BJ$14,COLUMN()+38,FALSE)</f>
        <v>#N/A</v>
      </c>
      <c r="Q30" s="85" t="e">
        <f>VLOOKUP(Standings!$B30,'Dummy Standings'!$B$5:$BJ$14,COLUMN()+38,FALSE)</f>
        <v>#N/A</v>
      </c>
      <c r="R30" s="85" t="e">
        <f>VLOOKUP(Standings!$B30,'Dummy Standings'!$B$5:$BJ$14,COLUMN()+38,FALSE)</f>
        <v>#N/A</v>
      </c>
      <c r="S30" s="85" t="e">
        <f>VLOOKUP(Standings!$B30,'Dummy Standings'!$B$5:$BJ$14,COLUMN()+38,FALSE)</f>
        <v>#N/A</v>
      </c>
      <c r="T30" s="85" t="e">
        <f>VLOOKUP(Standings!$B30,'Dummy Standings'!$B$5:$BJ$14,COLUMN()+38,FALSE)</f>
        <v>#N/A</v>
      </c>
      <c r="U30" s="85" t="e">
        <f>VLOOKUP(Standings!$B30,'Dummy Standings'!$B$5:$BJ$14,COLUMN()+38,FALSE)</f>
        <v>#N/A</v>
      </c>
      <c r="V30" s="85" t="e">
        <f>VLOOKUP(Standings!$B30,'Dummy Standings'!$B$5:$BJ$14,COLUMN()+38,FALSE)</f>
        <v>#N/A</v>
      </c>
      <c r="W30" s="85" t="e">
        <f>VLOOKUP(Standings!$B30,'Dummy Standings'!$B$5:$BJ$14,COLUMN()+38,FALSE)</f>
        <v>#N/A</v>
      </c>
    </row>
    <row r="31" spans="2:23" s="85" customFormat="1" ht="11.25">
      <c r="B31" s="85">
        <v>28</v>
      </c>
      <c r="C31" s="86" t="e">
        <f>VLOOKUP(Standings!$B31,'Dummy Standings'!$B$5:$BJ$14,2,FALSE)</f>
        <v>#N/A</v>
      </c>
      <c r="D31" s="86" t="e">
        <f t="shared" si="0"/>
        <v>#N/A</v>
      </c>
      <c r="E31" s="86" t="e">
        <f>VLOOKUP(Standings!$B31,'Dummy Standings'!$B$5:$BJ$14,3,FALSE)</f>
        <v>#N/A</v>
      </c>
      <c r="F31" s="85" t="e">
        <f>VLOOKUP(Standings!$B31,'Dummy Standings'!$B$5:$BJ$14,COLUMN()+38,FALSE)</f>
        <v>#N/A</v>
      </c>
      <c r="G31" s="85" t="e">
        <f>VLOOKUP(Standings!$B31,'Dummy Standings'!$B$5:$BJ$14,COLUMN()+38,FALSE)</f>
        <v>#N/A</v>
      </c>
      <c r="H31" s="85" t="e">
        <f>VLOOKUP(Standings!$B31,'Dummy Standings'!$B$5:$BJ$14,COLUMN()+38,FALSE)</f>
        <v>#N/A</v>
      </c>
      <c r="I31" s="85" t="e">
        <f>VLOOKUP(Standings!$B31,'Dummy Standings'!$B$5:$BJ$14,COLUMN()+38,FALSE)</f>
        <v>#N/A</v>
      </c>
      <c r="J31" s="85" t="e">
        <f>VLOOKUP(Standings!$B31,'Dummy Standings'!$B$5:$BJ$14,COLUMN()+38,FALSE)</f>
        <v>#N/A</v>
      </c>
      <c r="K31" s="85" t="e">
        <f>VLOOKUP(Standings!$B31,'Dummy Standings'!$B$5:$BJ$14,COLUMN()+38,FALSE)</f>
        <v>#N/A</v>
      </c>
      <c r="L31" s="85" t="e">
        <f>VLOOKUP(Standings!$B31,'Dummy Standings'!$B$5:$BJ$14,COLUMN()+38,FALSE)</f>
        <v>#N/A</v>
      </c>
      <c r="M31" s="85" t="e">
        <f>VLOOKUP(Standings!$B31,'Dummy Standings'!$B$5:$BJ$14,COLUMN()+38,FALSE)</f>
        <v>#N/A</v>
      </c>
      <c r="N31" s="85" t="e">
        <f>VLOOKUP(Standings!$B31,'Dummy Standings'!$B$5:$BJ$14,COLUMN()+38,FALSE)</f>
        <v>#N/A</v>
      </c>
      <c r="O31" s="85" t="e">
        <f>VLOOKUP(Standings!$B31,'Dummy Standings'!$B$5:$BJ$14,COLUMN()+38,FALSE)</f>
        <v>#N/A</v>
      </c>
      <c r="P31" s="85" t="e">
        <f>VLOOKUP(Standings!$B31,'Dummy Standings'!$B$5:$BJ$14,COLUMN()+38,FALSE)</f>
        <v>#N/A</v>
      </c>
      <c r="Q31" s="85" t="e">
        <f>VLOOKUP(Standings!$B31,'Dummy Standings'!$B$5:$BJ$14,COLUMN()+38,FALSE)</f>
        <v>#N/A</v>
      </c>
      <c r="R31" s="85" t="e">
        <f>VLOOKUP(Standings!$B31,'Dummy Standings'!$B$5:$BJ$14,COLUMN()+38,FALSE)</f>
        <v>#N/A</v>
      </c>
      <c r="S31" s="85" t="e">
        <f>VLOOKUP(Standings!$B31,'Dummy Standings'!$B$5:$BJ$14,COLUMN()+38,FALSE)</f>
        <v>#N/A</v>
      </c>
      <c r="T31" s="85" t="e">
        <f>VLOOKUP(Standings!$B31,'Dummy Standings'!$B$5:$BJ$14,COLUMN()+38,FALSE)</f>
        <v>#N/A</v>
      </c>
      <c r="U31" s="85" t="e">
        <f>VLOOKUP(Standings!$B31,'Dummy Standings'!$B$5:$BJ$14,COLUMN()+38,FALSE)</f>
        <v>#N/A</v>
      </c>
      <c r="V31" s="85" t="e">
        <f>VLOOKUP(Standings!$B31,'Dummy Standings'!$B$5:$BJ$14,COLUMN()+38,FALSE)</f>
        <v>#N/A</v>
      </c>
      <c r="W31" s="85" t="e">
        <f>VLOOKUP(Standings!$B31,'Dummy Standings'!$B$5:$BJ$14,COLUMN()+38,FALSE)</f>
        <v>#N/A</v>
      </c>
    </row>
    <row r="32" spans="2:23" s="85" customFormat="1" ht="11.25">
      <c r="B32" s="85">
        <v>29</v>
      </c>
      <c r="C32" s="86" t="e">
        <f>VLOOKUP(Standings!$B32,'Dummy Standings'!$B$5:$BJ$14,2,FALSE)</f>
        <v>#N/A</v>
      </c>
      <c r="D32" s="86" t="e">
        <f t="shared" si="0"/>
        <v>#N/A</v>
      </c>
      <c r="E32" s="86" t="e">
        <f>VLOOKUP(Standings!$B32,'Dummy Standings'!$B$5:$BJ$14,3,FALSE)</f>
        <v>#N/A</v>
      </c>
      <c r="F32" s="85" t="e">
        <f>VLOOKUP(Standings!$B32,'Dummy Standings'!$B$5:$BJ$14,COLUMN()+38,FALSE)</f>
        <v>#N/A</v>
      </c>
      <c r="G32" s="85" t="e">
        <f>VLOOKUP(Standings!$B32,'Dummy Standings'!$B$5:$BJ$14,COLUMN()+38,FALSE)</f>
        <v>#N/A</v>
      </c>
      <c r="H32" s="85" t="e">
        <f>VLOOKUP(Standings!$B32,'Dummy Standings'!$B$5:$BJ$14,COLUMN()+38,FALSE)</f>
        <v>#N/A</v>
      </c>
      <c r="I32" s="85" t="e">
        <f>VLOOKUP(Standings!$B32,'Dummy Standings'!$B$5:$BJ$14,COLUMN()+38,FALSE)</f>
        <v>#N/A</v>
      </c>
      <c r="J32" s="85" t="e">
        <f>VLOOKUP(Standings!$B32,'Dummy Standings'!$B$5:$BJ$14,COLUMN()+38,FALSE)</f>
        <v>#N/A</v>
      </c>
      <c r="K32" s="85" t="e">
        <f>VLOOKUP(Standings!$B32,'Dummy Standings'!$B$5:$BJ$14,COLUMN()+38,FALSE)</f>
        <v>#N/A</v>
      </c>
      <c r="L32" s="85" t="e">
        <f>VLOOKUP(Standings!$B32,'Dummy Standings'!$B$5:$BJ$14,COLUMN()+38,FALSE)</f>
        <v>#N/A</v>
      </c>
      <c r="M32" s="85" t="e">
        <f>VLOOKUP(Standings!$B32,'Dummy Standings'!$B$5:$BJ$14,COLUMN()+38,FALSE)</f>
        <v>#N/A</v>
      </c>
      <c r="N32" s="85" t="e">
        <f>VLOOKUP(Standings!$B32,'Dummy Standings'!$B$5:$BJ$14,COLUMN()+38,FALSE)</f>
        <v>#N/A</v>
      </c>
      <c r="O32" s="85" t="e">
        <f>VLOOKUP(Standings!$B32,'Dummy Standings'!$B$5:$BJ$14,COLUMN()+38,FALSE)</f>
        <v>#N/A</v>
      </c>
      <c r="P32" s="85" t="e">
        <f>VLOOKUP(Standings!$B32,'Dummy Standings'!$B$5:$BJ$14,COLUMN()+38,FALSE)</f>
        <v>#N/A</v>
      </c>
      <c r="Q32" s="85" t="e">
        <f>VLOOKUP(Standings!$B32,'Dummy Standings'!$B$5:$BJ$14,COLUMN()+38,FALSE)</f>
        <v>#N/A</v>
      </c>
      <c r="R32" s="85" t="e">
        <f>VLOOKUP(Standings!$B32,'Dummy Standings'!$B$5:$BJ$14,COLUMN()+38,FALSE)</f>
        <v>#N/A</v>
      </c>
      <c r="S32" s="85" t="e">
        <f>VLOOKUP(Standings!$B32,'Dummy Standings'!$B$5:$BJ$14,COLUMN()+38,FALSE)</f>
        <v>#N/A</v>
      </c>
      <c r="T32" s="85" t="e">
        <f>VLOOKUP(Standings!$B32,'Dummy Standings'!$B$5:$BJ$14,COLUMN()+38,FALSE)</f>
        <v>#N/A</v>
      </c>
      <c r="U32" s="85" t="e">
        <f>VLOOKUP(Standings!$B32,'Dummy Standings'!$B$5:$BJ$14,COLUMN()+38,FALSE)</f>
        <v>#N/A</v>
      </c>
      <c r="V32" s="85" t="e">
        <f>VLOOKUP(Standings!$B32,'Dummy Standings'!$B$5:$BJ$14,COLUMN()+38,FALSE)</f>
        <v>#N/A</v>
      </c>
      <c r="W32" s="85" t="e">
        <f>VLOOKUP(Standings!$B32,'Dummy Standings'!$B$5:$BJ$14,COLUMN()+38,FALSE)</f>
        <v>#N/A</v>
      </c>
    </row>
    <row r="33" spans="2:23" s="85" customFormat="1" ht="11.25">
      <c r="B33" s="85">
        <v>30</v>
      </c>
      <c r="C33" s="86" t="e">
        <f>VLOOKUP(Standings!$B33,'Dummy Standings'!$B$5:$BJ$14,2,FALSE)</f>
        <v>#N/A</v>
      </c>
      <c r="D33" s="86" t="e">
        <f t="shared" si="0"/>
        <v>#N/A</v>
      </c>
      <c r="E33" s="86" t="e">
        <f>VLOOKUP(Standings!$B33,'Dummy Standings'!$B$5:$BJ$14,3,FALSE)</f>
        <v>#N/A</v>
      </c>
      <c r="F33" s="85" t="e">
        <f>VLOOKUP(Standings!$B33,'Dummy Standings'!$B$5:$BJ$14,COLUMN()+38,FALSE)</f>
        <v>#N/A</v>
      </c>
      <c r="G33" s="85" t="e">
        <f>VLOOKUP(Standings!$B33,'Dummy Standings'!$B$5:$BJ$14,COLUMN()+38,FALSE)</f>
        <v>#N/A</v>
      </c>
      <c r="H33" s="85" t="e">
        <f>VLOOKUP(Standings!$B33,'Dummy Standings'!$B$5:$BJ$14,COLUMN()+38,FALSE)</f>
        <v>#N/A</v>
      </c>
      <c r="I33" s="85" t="e">
        <f>VLOOKUP(Standings!$B33,'Dummy Standings'!$B$5:$BJ$14,COLUMN()+38,FALSE)</f>
        <v>#N/A</v>
      </c>
      <c r="J33" s="85" t="e">
        <f>VLOOKUP(Standings!$B33,'Dummy Standings'!$B$5:$BJ$14,COLUMN()+38,FALSE)</f>
        <v>#N/A</v>
      </c>
      <c r="K33" s="85" t="e">
        <f>VLOOKUP(Standings!$B33,'Dummy Standings'!$B$5:$BJ$14,COLUMN()+38,FALSE)</f>
        <v>#N/A</v>
      </c>
      <c r="L33" s="85" t="e">
        <f>VLOOKUP(Standings!$B33,'Dummy Standings'!$B$5:$BJ$14,COLUMN()+38,FALSE)</f>
        <v>#N/A</v>
      </c>
      <c r="M33" s="85" t="e">
        <f>VLOOKUP(Standings!$B33,'Dummy Standings'!$B$5:$BJ$14,COLUMN()+38,FALSE)</f>
        <v>#N/A</v>
      </c>
      <c r="N33" s="85" t="e">
        <f>VLOOKUP(Standings!$B33,'Dummy Standings'!$B$5:$BJ$14,COLUMN()+38,FALSE)</f>
        <v>#N/A</v>
      </c>
      <c r="O33" s="85" t="e">
        <f>VLOOKUP(Standings!$B33,'Dummy Standings'!$B$5:$BJ$14,COLUMN()+38,FALSE)</f>
        <v>#N/A</v>
      </c>
      <c r="P33" s="85" t="e">
        <f>VLOOKUP(Standings!$B33,'Dummy Standings'!$B$5:$BJ$14,COLUMN()+38,FALSE)</f>
        <v>#N/A</v>
      </c>
      <c r="Q33" s="85" t="e">
        <f>VLOOKUP(Standings!$B33,'Dummy Standings'!$B$5:$BJ$14,COLUMN()+38,FALSE)</f>
        <v>#N/A</v>
      </c>
      <c r="R33" s="85" t="e">
        <f>VLOOKUP(Standings!$B33,'Dummy Standings'!$B$5:$BJ$14,COLUMN()+38,FALSE)</f>
        <v>#N/A</v>
      </c>
      <c r="S33" s="85" t="e">
        <f>VLOOKUP(Standings!$B33,'Dummy Standings'!$B$5:$BJ$14,COLUMN()+38,FALSE)</f>
        <v>#N/A</v>
      </c>
      <c r="T33" s="85" t="e">
        <f>VLOOKUP(Standings!$B33,'Dummy Standings'!$B$5:$BJ$14,COLUMN()+38,FALSE)</f>
        <v>#N/A</v>
      </c>
      <c r="U33" s="85" t="e">
        <f>VLOOKUP(Standings!$B33,'Dummy Standings'!$B$5:$BJ$14,COLUMN()+38,FALSE)</f>
        <v>#N/A</v>
      </c>
      <c r="V33" s="85" t="e">
        <f>VLOOKUP(Standings!$B33,'Dummy Standings'!$B$5:$BJ$14,COLUMN()+38,FALSE)</f>
        <v>#N/A</v>
      </c>
      <c r="W33" s="85" t="e">
        <f>VLOOKUP(Standings!$B33,'Dummy Standings'!$B$5:$BJ$14,COLUMN()+38,FALSE)</f>
        <v>#N/A</v>
      </c>
    </row>
    <row r="34" spans="2:23" s="85" customFormat="1" ht="11.25">
      <c r="B34" s="85">
        <v>31</v>
      </c>
      <c r="C34" s="86" t="e">
        <f>VLOOKUP(Standings!$B34,'Dummy Standings'!$B$5:$BJ$14,2,FALSE)</f>
        <v>#N/A</v>
      </c>
      <c r="D34" s="86" t="e">
        <f t="shared" si="0"/>
        <v>#N/A</v>
      </c>
      <c r="E34" s="86" t="e">
        <f>VLOOKUP(Standings!$B34,'Dummy Standings'!$B$5:$BJ$14,3,FALSE)</f>
        <v>#N/A</v>
      </c>
      <c r="F34" s="85" t="e">
        <f>VLOOKUP(Standings!$B34,'Dummy Standings'!$B$5:$BJ$14,COLUMN()+38,FALSE)</f>
        <v>#N/A</v>
      </c>
      <c r="G34" s="85" t="e">
        <f>VLOOKUP(Standings!$B34,'Dummy Standings'!$B$5:$BJ$14,COLUMN()+38,FALSE)</f>
        <v>#N/A</v>
      </c>
      <c r="H34" s="85" t="e">
        <f>VLOOKUP(Standings!$B34,'Dummy Standings'!$B$5:$BJ$14,COLUMN()+38,FALSE)</f>
        <v>#N/A</v>
      </c>
      <c r="I34" s="85" t="e">
        <f>VLOOKUP(Standings!$B34,'Dummy Standings'!$B$5:$BJ$14,COLUMN()+38,FALSE)</f>
        <v>#N/A</v>
      </c>
      <c r="J34" s="85" t="e">
        <f>VLOOKUP(Standings!$B34,'Dummy Standings'!$B$5:$BJ$14,COLUMN()+38,FALSE)</f>
        <v>#N/A</v>
      </c>
      <c r="K34" s="85" t="e">
        <f>VLOOKUP(Standings!$B34,'Dummy Standings'!$B$5:$BJ$14,COLUMN()+38,FALSE)</f>
        <v>#N/A</v>
      </c>
      <c r="L34" s="85" t="e">
        <f>VLOOKUP(Standings!$B34,'Dummy Standings'!$B$5:$BJ$14,COLUMN()+38,FALSE)</f>
        <v>#N/A</v>
      </c>
      <c r="M34" s="85" t="e">
        <f>VLOOKUP(Standings!$B34,'Dummy Standings'!$B$5:$BJ$14,COLUMN()+38,FALSE)</f>
        <v>#N/A</v>
      </c>
      <c r="N34" s="85" t="e">
        <f>VLOOKUP(Standings!$B34,'Dummy Standings'!$B$5:$BJ$14,COLUMN()+38,FALSE)</f>
        <v>#N/A</v>
      </c>
      <c r="O34" s="85" t="e">
        <f>VLOOKUP(Standings!$B34,'Dummy Standings'!$B$5:$BJ$14,COLUMN()+38,FALSE)</f>
        <v>#N/A</v>
      </c>
      <c r="P34" s="85" t="e">
        <f>VLOOKUP(Standings!$B34,'Dummy Standings'!$B$5:$BJ$14,COLUMN()+38,FALSE)</f>
        <v>#N/A</v>
      </c>
      <c r="Q34" s="85" t="e">
        <f>VLOOKUP(Standings!$B34,'Dummy Standings'!$B$5:$BJ$14,COLUMN()+38,FALSE)</f>
        <v>#N/A</v>
      </c>
      <c r="R34" s="85" t="e">
        <f>VLOOKUP(Standings!$B34,'Dummy Standings'!$B$5:$BJ$14,COLUMN()+38,FALSE)</f>
        <v>#N/A</v>
      </c>
      <c r="S34" s="85" t="e">
        <f>VLOOKUP(Standings!$B34,'Dummy Standings'!$B$5:$BJ$14,COLUMN()+38,FALSE)</f>
        <v>#N/A</v>
      </c>
      <c r="T34" s="85" t="e">
        <f>VLOOKUP(Standings!$B34,'Dummy Standings'!$B$5:$BJ$14,COLUMN()+38,FALSE)</f>
        <v>#N/A</v>
      </c>
      <c r="U34" s="85" t="e">
        <f>VLOOKUP(Standings!$B34,'Dummy Standings'!$B$5:$BJ$14,COLUMN()+38,FALSE)</f>
        <v>#N/A</v>
      </c>
      <c r="V34" s="85" t="e">
        <f>VLOOKUP(Standings!$B34,'Dummy Standings'!$B$5:$BJ$14,COLUMN()+38,FALSE)</f>
        <v>#N/A</v>
      </c>
      <c r="W34" s="85" t="e">
        <f>VLOOKUP(Standings!$B34,'Dummy Standings'!$B$5:$BJ$14,COLUMN()+38,FALSE)</f>
        <v>#N/A</v>
      </c>
    </row>
    <row r="35" spans="2:23" s="85" customFormat="1" ht="11.25">
      <c r="B35" s="85">
        <v>32</v>
      </c>
      <c r="C35" s="86" t="e">
        <f>VLOOKUP(Standings!$B35,'Dummy Standings'!$B$5:$BJ$14,2,FALSE)</f>
        <v>#N/A</v>
      </c>
      <c r="D35" s="86" t="e">
        <f t="shared" si="0"/>
        <v>#N/A</v>
      </c>
      <c r="E35" s="86" t="e">
        <f>VLOOKUP(Standings!$B35,'Dummy Standings'!$B$5:$BJ$14,3,FALSE)</f>
        <v>#N/A</v>
      </c>
      <c r="F35" s="85" t="e">
        <f>VLOOKUP(Standings!$B35,'Dummy Standings'!$B$5:$BJ$14,COLUMN()+38,FALSE)</f>
        <v>#N/A</v>
      </c>
      <c r="G35" s="85" t="e">
        <f>VLOOKUP(Standings!$B35,'Dummy Standings'!$B$5:$BJ$14,COLUMN()+38,FALSE)</f>
        <v>#N/A</v>
      </c>
      <c r="H35" s="85" t="e">
        <f>VLOOKUP(Standings!$B35,'Dummy Standings'!$B$5:$BJ$14,COLUMN()+38,FALSE)</f>
        <v>#N/A</v>
      </c>
      <c r="I35" s="85" t="e">
        <f>VLOOKUP(Standings!$B35,'Dummy Standings'!$B$5:$BJ$14,COLUMN()+38,FALSE)</f>
        <v>#N/A</v>
      </c>
      <c r="J35" s="85" t="e">
        <f>VLOOKUP(Standings!$B35,'Dummy Standings'!$B$5:$BJ$14,COLUMN()+38,FALSE)</f>
        <v>#N/A</v>
      </c>
      <c r="K35" s="85" t="e">
        <f>VLOOKUP(Standings!$B35,'Dummy Standings'!$B$5:$BJ$14,COLUMN()+38,FALSE)</f>
        <v>#N/A</v>
      </c>
      <c r="L35" s="85" t="e">
        <f>VLOOKUP(Standings!$B35,'Dummy Standings'!$B$5:$BJ$14,COLUMN()+38,FALSE)</f>
        <v>#N/A</v>
      </c>
      <c r="M35" s="85" t="e">
        <f>VLOOKUP(Standings!$B35,'Dummy Standings'!$B$5:$BJ$14,COLUMN()+38,FALSE)</f>
        <v>#N/A</v>
      </c>
      <c r="N35" s="85" t="e">
        <f>VLOOKUP(Standings!$B35,'Dummy Standings'!$B$5:$BJ$14,COLUMN()+38,FALSE)</f>
        <v>#N/A</v>
      </c>
      <c r="O35" s="85" t="e">
        <f>VLOOKUP(Standings!$B35,'Dummy Standings'!$B$5:$BJ$14,COLUMN()+38,FALSE)</f>
        <v>#N/A</v>
      </c>
      <c r="P35" s="85" t="e">
        <f>VLOOKUP(Standings!$B35,'Dummy Standings'!$B$5:$BJ$14,COLUMN()+38,FALSE)</f>
        <v>#N/A</v>
      </c>
      <c r="Q35" s="85" t="e">
        <f>VLOOKUP(Standings!$B35,'Dummy Standings'!$B$5:$BJ$14,COLUMN()+38,FALSE)</f>
        <v>#N/A</v>
      </c>
      <c r="R35" s="85" t="e">
        <f>VLOOKUP(Standings!$B35,'Dummy Standings'!$B$5:$BJ$14,COLUMN()+38,FALSE)</f>
        <v>#N/A</v>
      </c>
      <c r="S35" s="85" t="e">
        <f>VLOOKUP(Standings!$B35,'Dummy Standings'!$B$5:$BJ$14,COLUMN()+38,FALSE)</f>
        <v>#N/A</v>
      </c>
      <c r="T35" s="85" t="e">
        <f>VLOOKUP(Standings!$B35,'Dummy Standings'!$B$5:$BJ$14,COLUMN()+38,FALSE)</f>
        <v>#N/A</v>
      </c>
      <c r="U35" s="85" t="e">
        <f>VLOOKUP(Standings!$B35,'Dummy Standings'!$B$5:$BJ$14,COLUMN()+38,FALSE)</f>
        <v>#N/A</v>
      </c>
      <c r="V35" s="85" t="e">
        <f>VLOOKUP(Standings!$B35,'Dummy Standings'!$B$5:$BJ$14,COLUMN()+38,FALSE)</f>
        <v>#N/A</v>
      </c>
      <c r="W35" s="85" t="e">
        <f>VLOOKUP(Standings!$B35,'Dummy Standings'!$B$5:$BJ$14,COLUMN()+38,FALSE)</f>
        <v>#N/A</v>
      </c>
    </row>
    <row r="36" spans="2:23" ht="11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2:23" ht="11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</row>
    <row r="38" spans="2:23" ht="11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2:23" ht="11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2:23" ht="11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2:23" ht="11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2:23" ht="11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2:23" ht="11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</row>
    <row r="44" spans="2:23" ht="11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</row>
    <row r="45" spans="2:23" ht="11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2:23" ht="11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</row>
    <row r="47" spans="2:23" ht="11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</row>
    <row r="48" spans="2:23" ht="11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="84" customFormat="1" ht="11.25"/>
    <row r="50" s="84" customFormat="1" ht="11.25"/>
    <row r="51" s="84" customFormat="1" ht="11.25"/>
  </sheetData>
  <sheetProtection sheet="1" objects="1" scenarios="1" selectLockedCells="1" selectUnlockedCells="1"/>
  <mergeCells count="7">
    <mergeCell ref="R2:W2"/>
    <mergeCell ref="E2:E3"/>
    <mergeCell ref="D2:D3"/>
    <mergeCell ref="B2:B3"/>
    <mergeCell ref="C2:C3"/>
    <mergeCell ref="F2:K2"/>
    <mergeCell ref="L2:Q2"/>
  </mergeCells>
  <conditionalFormatting sqref="C4:E35">
    <cfRule type="expression" priority="1" dxfId="0" stopIfTrue="1">
      <formula>IF($D4&lt;3,1,0)=1</formula>
    </cfRule>
  </conditionalFormatting>
  <conditionalFormatting sqref="B4:B35">
    <cfRule type="cellIs" priority="2" dxfId="1" operator="lessThanOrEqual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C14:D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Z51"/>
  <sheetViews>
    <sheetView workbookViewId="0" topLeftCell="A1">
      <pane xSplit="26" ySplit="2" topLeftCell="AA3" activePane="bottomRight" state="frozen"/>
      <selection pane="topLeft" activeCell="A1" sqref="A1"/>
      <selection pane="topRight" activeCell="AA1" sqref="AA1"/>
      <selection pane="bottomLeft" activeCell="A3" sqref="A3"/>
      <selection pane="bottomRight" activeCell="F9" sqref="F9"/>
    </sheetView>
  </sheetViews>
  <sheetFormatPr defaultColWidth="9.140625" defaultRowHeight="12.75"/>
  <cols>
    <col min="1" max="1" width="1.421875" style="0" customWidth="1"/>
    <col min="2" max="2" width="5.8515625" style="28" bestFit="1" customWidth="1"/>
    <col min="3" max="3" width="28.00390625" style="29" bestFit="1" customWidth="1"/>
    <col min="4" max="4" width="7.00390625" style="1" hidden="1" customWidth="1"/>
    <col min="5" max="6" width="5.7109375" style="1" customWidth="1"/>
    <col min="7" max="7" width="7.00390625" style="1" hidden="1" customWidth="1"/>
    <col min="8" max="8" width="28.57421875" style="36" customWidth="1"/>
    <col min="9" max="9" width="29.00390625" style="28" bestFit="1" customWidth="1"/>
    <col min="10" max="10" width="8.8515625" style="60" hidden="1" customWidth="1"/>
    <col min="11" max="11" width="6.8515625" style="28" hidden="1" customWidth="1"/>
    <col min="12" max="12" width="9.8515625" style="37" hidden="1" customWidth="1"/>
    <col min="13" max="13" width="3.57421875" style="0" hidden="1" customWidth="1"/>
    <col min="14" max="14" width="5.8515625" style="0" hidden="1" customWidth="1"/>
    <col min="15" max="15" width="8.57421875" style="1" hidden="1" customWidth="1"/>
    <col min="16" max="18" width="0" style="1" hidden="1" customWidth="1"/>
    <col min="19" max="20" width="3.28125" style="1" hidden="1" customWidth="1"/>
    <col min="21" max="22" width="5.57421875" style="1" hidden="1" customWidth="1"/>
    <col min="23" max="24" width="3.28125" style="1" hidden="1" customWidth="1"/>
    <col min="25" max="26" width="0" style="1" hidden="1" customWidth="1"/>
  </cols>
  <sheetData>
    <row r="1" ht="7.5" customHeight="1" thickBot="1"/>
    <row r="2" spans="2:26" ht="13.5" thickBot="1">
      <c r="B2" s="30" t="s">
        <v>13</v>
      </c>
      <c r="C2" s="31" t="s">
        <v>14</v>
      </c>
      <c r="D2" s="8"/>
      <c r="E2" s="188" t="s">
        <v>15</v>
      </c>
      <c r="F2" s="189"/>
      <c r="G2" s="8"/>
      <c r="H2" s="31" t="s">
        <v>16</v>
      </c>
      <c r="I2" s="30" t="s">
        <v>17</v>
      </c>
      <c r="J2" s="61" t="s">
        <v>33</v>
      </c>
      <c r="K2" s="30" t="s">
        <v>46</v>
      </c>
      <c r="L2" s="30" t="s">
        <v>43</v>
      </c>
      <c r="M2" s="30" t="s">
        <v>44</v>
      </c>
      <c r="N2" s="30" t="s">
        <v>45</v>
      </c>
      <c r="O2" s="105" t="s">
        <v>65</v>
      </c>
      <c r="P2" s="106" t="s">
        <v>66</v>
      </c>
      <c r="Q2" s="106" t="s">
        <v>67</v>
      </c>
      <c r="R2" s="106" t="s">
        <v>68</v>
      </c>
      <c r="S2" s="8" t="s">
        <v>69</v>
      </c>
      <c r="T2" s="82" t="s">
        <v>70</v>
      </c>
      <c r="U2" s="8" t="s">
        <v>71</v>
      </c>
      <c r="V2" s="82" t="s">
        <v>72</v>
      </c>
      <c r="W2" s="8" t="s">
        <v>73</v>
      </c>
      <c r="X2" s="82" t="s">
        <v>74</v>
      </c>
      <c r="Y2" s="82" t="s">
        <v>67</v>
      </c>
      <c r="Z2" s="82" t="s">
        <v>68</v>
      </c>
    </row>
    <row r="3" spans="2:26" ht="12.75">
      <c r="B3" s="32">
        <v>1</v>
      </c>
      <c r="C3" s="33" t="s">
        <v>56</v>
      </c>
      <c r="D3" s="22" t="str">
        <f>INDEX(Teams!$B$5:$E$37,MATCH(Results!C3,Teams!$B$5:$B$37,0),4)</f>
        <v>LUT</v>
      </c>
      <c r="E3" s="26">
        <v>13</v>
      </c>
      <c r="F3" s="27">
        <v>20</v>
      </c>
      <c r="G3" s="22" t="str">
        <f>INDEX(Teams!$B$5:$E$37,MATCH(Results!H3,Teams!$B$5:$B$37,0),4)</f>
        <v>ARK</v>
      </c>
      <c r="H3" s="38" t="s">
        <v>64</v>
      </c>
      <c r="I3" s="32" t="str">
        <f>INDEX(Teams!$B$5:$F$15,MATCH(Results!$C3,Teams!$B$5:$B$15,0),2)</f>
        <v>Luther Field</v>
      </c>
      <c r="J3" s="62" t="str">
        <f aca="true" t="shared" si="0" ref="J3:J46">D3&amp;G3</f>
        <v>LUTARK</v>
      </c>
      <c r="K3" s="40" t="str">
        <f>IF(L3=0,"",IF(E3&gt;F3,D3,G3))</f>
        <v>ARK</v>
      </c>
      <c r="L3" s="40">
        <f>IF(OR(E3="",F3=""),0,1)</f>
        <v>1</v>
      </c>
      <c r="M3" s="40">
        <f>ABS(E3-F3)</f>
        <v>7</v>
      </c>
      <c r="N3" s="40" t="str">
        <f>IF(K3="","",IF(K3=D3,"Home","Away"))</f>
        <v>Away</v>
      </c>
      <c r="O3" s="107" t="str">
        <f>$D3&amp;$B3</f>
        <v>LUT1</v>
      </c>
      <c r="P3" s="109" t="str">
        <f>$G3&amp;$B3</f>
        <v>ARK1</v>
      </c>
      <c r="Q3" s="109">
        <f>INDEX(RankPoints!$B$2:$L$14,2,MATCH(Results!$D3,Results!$D$2:$D$47,0))</f>
        <v>1500</v>
      </c>
      <c r="R3" s="109">
        <f>INDEX(RankPoints!$B$2:$L$14,2,MATCH(Results!$G3,Results!$G$2:$G$47,0))</f>
        <v>1500</v>
      </c>
      <c r="S3" s="111">
        <f>IF($N3="Home",1,0)</f>
        <v>0</v>
      </c>
      <c r="T3" s="109">
        <f>IF($N3="Away",1,0)</f>
        <v>1</v>
      </c>
      <c r="U3" s="112">
        <f>1/(1+(10^($W3/Teams!$F$3)))</f>
        <v>0.5</v>
      </c>
      <c r="V3" s="113">
        <f>1/(1+(10^($X3/Teams!$F$3)))</f>
        <v>0.5</v>
      </c>
      <c r="W3" s="111">
        <f>$Q3-$R3</f>
        <v>0</v>
      </c>
      <c r="X3" s="109">
        <f>$R3-$Q3</f>
        <v>0</v>
      </c>
      <c r="Y3" s="109">
        <f>ROUND($Q3+(Teams!$F$2*($S3-$U3)),0)</f>
        <v>1484</v>
      </c>
      <c r="Z3" s="109">
        <f>ROUND($R3+(Teams!$F$2*($T3-$V3)),0)</f>
        <v>1516</v>
      </c>
    </row>
    <row r="4" spans="2:26" ht="12.75">
      <c r="B4" s="34">
        <v>1</v>
      </c>
      <c r="C4" s="35" t="s">
        <v>19</v>
      </c>
      <c r="D4" s="22" t="str">
        <f>INDEX(Teams!$B$5:$E$37,MATCH(Results!C4,Teams!$B$5:$B$37,0),4)</f>
        <v>CLD</v>
      </c>
      <c r="E4" s="24">
        <v>50</v>
      </c>
      <c r="F4" s="25">
        <v>20</v>
      </c>
      <c r="G4" s="22" t="str">
        <f>INDEX(Teams!$B$5:$E$37,MATCH(Results!H4,Teams!$B$5:$B$37,0),4)</f>
        <v>SNP</v>
      </c>
      <c r="H4" s="39" t="s">
        <v>52</v>
      </c>
      <c r="I4" s="32" t="str">
        <f>INDEX(Teams!$B$5:$F$15,MATCH(Results!$C4,Teams!$B$5:$B$15,0),2)</f>
        <v>Dorrel Stadium</v>
      </c>
      <c r="J4" s="63" t="str">
        <f t="shared" si="0"/>
        <v>CLDSNP</v>
      </c>
      <c r="K4" s="40" t="str">
        <f aca="true" t="shared" si="1" ref="K4:K46">IF(L4=0,"",IF(E4&gt;F4,D4,G4))</f>
        <v>CLD</v>
      </c>
      <c r="L4" s="40">
        <f aca="true" t="shared" si="2" ref="L4:L46">IF(OR(E4="",F4=""),0,1)</f>
        <v>1</v>
      </c>
      <c r="M4" s="40">
        <f aca="true" t="shared" si="3" ref="M4:M46">ABS(E4-F4)</f>
        <v>30</v>
      </c>
      <c r="N4" s="40" t="str">
        <f aca="true" t="shared" si="4" ref="N4:N46">IF(K4="","",IF(K4=D4,"Home","Away"))</f>
        <v>Home</v>
      </c>
      <c r="O4" s="107" t="str">
        <f aca="true" t="shared" si="5" ref="O4:O51">$D4&amp;$B4</f>
        <v>CLD1</v>
      </c>
      <c r="P4" s="109" t="str">
        <f aca="true" t="shared" si="6" ref="P4:P51">$G4&amp;$B4</f>
        <v>SNP1</v>
      </c>
      <c r="Q4" s="109">
        <f>INDEX(RankPoints!$B$2:$L$14,2,MATCH(Results!$D4,Results!$D$2:$D$47,0))</f>
        <v>1500</v>
      </c>
      <c r="R4" s="109">
        <f>INDEX(RankPoints!$B$2:$L$14,2,MATCH(Results!$G4,Results!$G$2:$G$47,0))</f>
        <v>1500</v>
      </c>
      <c r="S4" s="111">
        <f aca="true" t="shared" si="7" ref="S4:S51">IF($N4="Home",1,0)</f>
        <v>1</v>
      </c>
      <c r="T4" s="109">
        <f aca="true" t="shared" si="8" ref="T4:T51">IF($N4="Away",1,0)</f>
        <v>0</v>
      </c>
      <c r="U4" s="112">
        <f>1/(1+(10^($W4/Teams!$F$3)))</f>
        <v>0.5</v>
      </c>
      <c r="V4" s="113">
        <f>1/(1+(10^($X4/Teams!$F$3)))</f>
        <v>0.5</v>
      </c>
      <c r="W4" s="111">
        <f aca="true" t="shared" si="9" ref="W4:W51">$Q4-$R4</f>
        <v>0</v>
      </c>
      <c r="X4" s="109">
        <f aca="true" t="shared" si="10" ref="X4:X51">$R4-$Q4</f>
        <v>0</v>
      </c>
      <c r="Y4" s="109">
        <f>ROUND($Q4+(Teams!$F$2*($S4-$U4)),0)</f>
        <v>1516</v>
      </c>
      <c r="Z4" s="109">
        <f>ROUND($R4+(Teams!$F$2*($T4-$V4)),0)</f>
        <v>1484</v>
      </c>
    </row>
    <row r="5" spans="2:26" ht="12.75">
      <c r="B5" s="34">
        <v>1</v>
      </c>
      <c r="C5" s="35" t="s">
        <v>55</v>
      </c>
      <c r="D5" s="22" t="str">
        <f>INDEX(Teams!$B$5:$E$37,MATCH(Results!C5,Teams!$B$5:$B$37,0),4)</f>
        <v>NRT</v>
      </c>
      <c r="E5" s="24">
        <v>3</v>
      </c>
      <c r="F5" s="25">
        <v>17</v>
      </c>
      <c r="G5" s="22" t="str">
        <f>INDEX(Teams!$B$5:$E$37,MATCH(Results!H5,Teams!$B$5:$B$37,0),4)</f>
        <v>RCU</v>
      </c>
      <c r="H5" s="39" t="s">
        <v>20</v>
      </c>
      <c r="I5" s="32" t="str">
        <f>INDEX(Teams!$B$5:$F$15,MATCH(Results!$C5,Teams!$B$5:$B$15,0),2)</f>
        <v>Northumberland Park</v>
      </c>
      <c r="J5" s="63" t="str">
        <f t="shared" si="0"/>
        <v>NRTRCU</v>
      </c>
      <c r="K5" s="40" t="str">
        <f t="shared" si="1"/>
        <v>RCU</v>
      </c>
      <c r="L5" s="40">
        <f t="shared" si="2"/>
        <v>1</v>
      </c>
      <c r="M5" s="40">
        <f t="shared" si="3"/>
        <v>14</v>
      </c>
      <c r="N5" s="40" t="str">
        <f t="shared" si="4"/>
        <v>Away</v>
      </c>
      <c r="O5" s="107" t="str">
        <f t="shared" si="5"/>
        <v>NRT1</v>
      </c>
      <c r="P5" s="109" t="str">
        <f t="shared" si="6"/>
        <v>RCU1</v>
      </c>
      <c r="Q5" s="109">
        <f>INDEX(RankPoints!$B$2:$L$14,2,MATCH(Results!$D5,Results!$D$2:$D$47,0))</f>
        <v>1500</v>
      </c>
      <c r="R5" s="109">
        <f>INDEX(RankPoints!$B$2:$L$14,2,MATCH(Results!$G5,Results!$G$2:$G$47,0))</f>
        <v>1500</v>
      </c>
      <c r="S5" s="111">
        <f t="shared" si="7"/>
        <v>0</v>
      </c>
      <c r="T5" s="109">
        <f t="shared" si="8"/>
        <v>1</v>
      </c>
      <c r="U5" s="112">
        <f>1/(1+(10^($W5/Teams!$F$3)))</f>
        <v>0.5</v>
      </c>
      <c r="V5" s="113">
        <f>1/(1+(10^($X5/Teams!$F$3)))</f>
        <v>0.5</v>
      </c>
      <c r="W5" s="111">
        <f t="shared" si="9"/>
        <v>0</v>
      </c>
      <c r="X5" s="109">
        <f t="shared" si="10"/>
        <v>0</v>
      </c>
      <c r="Y5" s="109">
        <f>ROUND($Q5+(Teams!$F$2*($S5-$U5)),0)</f>
        <v>1484</v>
      </c>
      <c r="Z5" s="109">
        <f>ROUND($R5+(Teams!$F$2*($T5-$V5)),0)</f>
        <v>1516</v>
      </c>
    </row>
    <row r="6" spans="2:26" ht="12.75">
      <c r="B6" s="34">
        <v>1</v>
      </c>
      <c r="C6" s="35" t="s">
        <v>54</v>
      </c>
      <c r="D6" s="22" t="str">
        <f>INDEX(Teams!$B$5:$E$37,MATCH(Results!C6,Teams!$B$5:$B$37,0),4)</f>
        <v>MPT</v>
      </c>
      <c r="E6" s="24">
        <v>3</v>
      </c>
      <c r="F6" s="25">
        <v>34</v>
      </c>
      <c r="G6" s="22" t="str">
        <f>INDEX(Teams!$B$5:$E$37,MATCH(Results!H6,Teams!$B$5:$B$37,0),4)</f>
        <v>UTC</v>
      </c>
      <c r="H6" s="39" t="s">
        <v>63</v>
      </c>
      <c r="I6" s="32" t="str">
        <f>INDEX(Teams!$B$5:$F$15,MATCH(Results!$C6,Teams!$B$5:$B$15,0),2)</f>
        <v>Milli Stadium</v>
      </c>
      <c r="J6" s="63" t="str">
        <f t="shared" si="0"/>
        <v>MPTUTC</v>
      </c>
      <c r="K6" s="40" t="str">
        <f t="shared" si="1"/>
        <v>UTC</v>
      </c>
      <c r="L6" s="40">
        <f t="shared" si="2"/>
        <v>1</v>
      </c>
      <c r="M6" s="40">
        <f t="shared" si="3"/>
        <v>31</v>
      </c>
      <c r="N6" s="40" t="str">
        <f t="shared" si="4"/>
        <v>Away</v>
      </c>
      <c r="O6" s="107" t="str">
        <f t="shared" si="5"/>
        <v>MPT1</v>
      </c>
      <c r="P6" s="109" t="str">
        <f t="shared" si="6"/>
        <v>UTC1</v>
      </c>
      <c r="Q6" s="109">
        <f>INDEX(RankPoints!$B$2:$L$14,2,MATCH(Results!$D6,Results!$D$2:$D$47,0))</f>
        <v>1500</v>
      </c>
      <c r="R6" s="109">
        <f>INDEX(RankPoints!$B$2:$L$14,2,MATCH(Results!$G6,Results!$G$2:$G$47,0))</f>
        <v>1500</v>
      </c>
      <c r="S6" s="111">
        <f t="shared" si="7"/>
        <v>0</v>
      </c>
      <c r="T6" s="109">
        <f t="shared" si="8"/>
        <v>1</v>
      </c>
      <c r="U6" s="112">
        <f>1/(1+(10^($W6/Teams!$F$3)))</f>
        <v>0.5</v>
      </c>
      <c r="V6" s="113">
        <f>1/(1+(10^($X6/Teams!$F$3)))</f>
        <v>0.5</v>
      </c>
      <c r="W6" s="111">
        <f t="shared" si="9"/>
        <v>0</v>
      </c>
      <c r="X6" s="109">
        <f t="shared" si="10"/>
        <v>0</v>
      </c>
      <c r="Y6" s="109">
        <f>ROUND($Q6+(Teams!$F$2*($S6-$U6)),0)</f>
        <v>1484</v>
      </c>
      <c r="Z6" s="109">
        <f>ROUND($R6+(Teams!$F$2*($T6-$V6)),0)</f>
        <v>1516</v>
      </c>
    </row>
    <row r="7" spans="2:26" ht="12.75">
      <c r="B7" s="34">
        <v>1</v>
      </c>
      <c r="C7" s="35" t="s">
        <v>62</v>
      </c>
      <c r="D7" s="22" t="str">
        <f>INDEX(Teams!$B$5:$E$37,MATCH(Results!C7,Teams!$B$5:$B$37,0),4)</f>
        <v>HDS</v>
      </c>
      <c r="E7" s="24">
        <v>17</v>
      </c>
      <c r="F7" s="25">
        <v>9</v>
      </c>
      <c r="G7" s="22" t="str">
        <f>INDEX(Teams!$B$5:$E$37,MATCH(Results!H7,Teams!$B$5:$B$37,0),4)</f>
        <v>NOV</v>
      </c>
      <c r="H7" s="39" t="s">
        <v>53</v>
      </c>
      <c r="I7" s="32" t="str">
        <f>INDEX(Teams!$B$5:$F$15,MATCH(Results!$C7,Teams!$B$5:$B$15,0),2)</f>
        <v>James A. Hudson Memorial Field</v>
      </c>
      <c r="J7" s="63" t="str">
        <f t="shared" si="0"/>
        <v>HDSNOV</v>
      </c>
      <c r="K7" s="40" t="str">
        <f t="shared" si="1"/>
        <v>HDS</v>
      </c>
      <c r="L7" s="40">
        <f t="shared" si="2"/>
        <v>1</v>
      </c>
      <c r="M7" s="40">
        <f t="shared" si="3"/>
        <v>8</v>
      </c>
      <c r="N7" s="40" t="str">
        <f t="shared" si="4"/>
        <v>Home</v>
      </c>
      <c r="O7" s="107" t="str">
        <f t="shared" si="5"/>
        <v>HDS1</v>
      </c>
      <c r="P7" s="109" t="str">
        <f t="shared" si="6"/>
        <v>NOV1</v>
      </c>
      <c r="Q7" s="109">
        <f>INDEX(RankPoints!$B$2:$L$14,2,MATCH(Results!$D7,Results!$D$2:$D$47,0))</f>
        <v>1500</v>
      </c>
      <c r="R7" s="109">
        <f>INDEX(RankPoints!$B$2:$L$14,2,MATCH(Results!$G7,Results!$G$2:$G$47,0))</f>
        <v>1500</v>
      </c>
      <c r="S7" s="111">
        <f t="shared" si="7"/>
        <v>1</v>
      </c>
      <c r="T7" s="109">
        <f t="shared" si="8"/>
        <v>0</v>
      </c>
      <c r="U7" s="112">
        <f>1/(1+(10^($W7/Teams!$F$3)))</f>
        <v>0.5</v>
      </c>
      <c r="V7" s="113">
        <f>1/(1+(10^($X7/Teams!$F$3)))</f>
        <v>0.5</v>
      </c>
      <c r="W7" s="111">
        <f t="shared" si="9"/>
        <v>0</v>
      </c>
      <c r="X7" s="109">
        <f t="shared" si="10"/>
        <v>0</v>
      </c>
      <c r="Y7" s="109">
        <f>ROUND($Q7+(Teams!$F$2*($S7-$U7)),0)</f>
        <v>1516</v>
      </c>
      <c r="Z7" s="109">
        <f>ROUND($R7+(Teams!$F$2*($T7-$V7)),0)</f>
        <v>1484</v>
      </c>
    </row>
    <row r="8" spans="2:26" ht="12.75">
      <c r="B8" s="34">
        <v>2</v>
      </c>
      <c r="C8" s="35" t="s">
        <v>20</v>
      </c>
      <c r="D8" s="22" t="str">
        <f>INDEX(Teams!$B$5:$E$37,MATCH(Results!C8,Teams!$B$5:$B$37,0),4)</f>
        <v>RCU</v>
      </c>
      <c r="E8" s="24">
        <v>33</v>
      </c>
      <c r="F8" s="25">
        <v>30</v>
      </c>
      <c r="G8" s="22" t="str">
        <f>INDEX(Teams!$B$5:$E$37,MATCH(Results!H8,Teams!$B$5:$B$37,0),4)</f>
        <v>LUT</v>
      </c>
      <c r="H8" s="39" t="s">
        <v>56</v>
      </c>
      <c r="I8" s="32" t="str">
        <f>INDEX(Teams!$B$5:$F$15,MATCH(Results!$C8,Teams!$B$5:$B$15,0),2)</f>
        <v>Capital Coliseum</v>
      </c>
      <c r="J8" s="63" t="str">
        <f t="shared" si="0"/>
        <v>RCULUT</v>
      </c>
      <c r="K8" s="40" t="str">
        <f t="shared" si="1"/>
        <v>RCU</v>
      </c>
      <c r="L8" s="40">
        <f t="shared" si="2"/>
        <v>1</v>
      </c>
      <c r="M8" s="40">
        <f t="shared" si="3"/>
        <v>3</v>
      </c>
      <c r="N8" s="40" t="str">
        <f t="shared" si="4"/>
        <v>Home</v>
      </c>
      <c r="O8" s="107" t="str">
        <f t="shared" si="5"/>
        <v>RCU2</v>
      </c>
      <c r="P8" s="109" t="str">
        <f t="shared" si="6"/>
        <v>LUT2</v>
      </c>
      <c r="Q8" s="109">
        <f>INDEX(RankPoints!$B$2:$L$14,Results!$B8+1,MATCH(Results!$D8,RankPoints!$B$2:$L$2,0))</f>
        <v>1516</v>
      </c>
      <c r="R8" s="109">
        <f>INDEX(RankPoints!$B$2:$L$14,Results!$B8+1,MATCH(Results!$G8,RankPoints!$B$2:$L$2,0))</f>
        <v>1484</v>
      </c>
      <c r="S8" s="111">
        <f t="shared" si="7"/>
        <v>1</v>
      </c>
      <c r="T8" s="109">
        <f t="shared" si="8"/>
        <v>0</v>
      </c>
      <c r="U8" s="112">
        <f>1/(1+(10^($W8/Teams!$F$3)))</f>
        <v>0.4540780772195163</v>
      </c>
      <c r="V8" s="113">
        <f>1/(1+(10^($X8/Teams!$F$3)))</f>
        <v>0.5459219227804837</v>
      </c>
      <c r="W8" s="111">
        <f t="shared" si="9"/>
        <v>32</v>
      </c>
      <c r="X8" s="109">
        <f t="shared" si="10"/>
        <v>-32</v>
      </c>
      <c r="Y8" s="109">
        <f>ROUND($Q8+(Teams!$F$2*($S8-$U8)),0)</f>
        <v>1533</v>
      </c>
      <c r="Z8" s="109">
        <f>ROUND($R8+(Teams!$F$2*($T8-$V8)),0)</f>
        <v>1467</v>
      </c>
    </row>
    <row r="9" spans="2:26" ht="12.75">
      <c r="B9" s="34">
        <v>2</v>
      </c>
      <c r="C9" s="35" t="s">
        <v>64</v>
      </c>
      <c r="D9" s="22" t="str">
        <f>INDEX(Teams!$B$5:$E$37,MATCH(Results!C9,Teams!$B$5:$B$37,0),4)</f>
        <v>ARK</v>
      </c>
      <c r="E9" s="24">
        <v>17</v>
      </c>
      <c r="F9" s="25">
        <v>0</v>
      </c>
      <c r="G9" s="22" t="str">
        <f>INDEX(Teams!$B$5:$E$37,MATCH(Results!H9,Teams!$B$5:$B$37,0),4)</f>
        <v>NRT</v>
      </c>
      <c r="H9" s="39" t="s">
        <v>55</v>
      </c>
      <c r="I9" s="32" t="str">
        <f>INDEX(Teams!$B$5:$F$15,MATCH(Results!$C9,Teams!$B$5:$B$15,0),2)</f>
        <v>Walker Field</v>
      </c>
      <c r="J9" s="63" t="str">
        <f t="shared" si="0"/>
        <v>ARKNRT</v>
      </c>
      <c r="K9" s="40" t="str">
        <f t="shared" si="1"/>
        <v>ARK</v>
      </c>
      <c r="L9" s="40">
        <f t="shared" si="2"/>
        <v>1</v>
      </c>
      <c r="M9" s="40">
        <f t="shared" si="3"/>
        <v>17</v>
      </c>
      <c r="N9" s="40" t="str">
        <f t="shared" si="4"/>
        <v>Home</v>
      </c>
      <c r="O9" s="107" t="str">
        <f t="shared" si="5"/>
        <v>ARK2</v>
      </c>
      <c r="P9" s="109" t="str">
        <f t="shared" si="6"/>
        <v>NRT2</v>
      </c>
      <c r="Q9" s="109">
        <f>INDEX(RankPoints!$B$2:$L$14,Results!$B9+1,MATCH(Results!$D9,RankPoints!$B$2:$L$2,0))</f>
        <v>1516</v>
      </c>
      <c r="R9" s="109">
        <f>INDEX(RankPoints!$B$2:$L$14,Results!$B9+1,MATCH(Results!$G9,RankPoints!$B$2:$L$2,0))</f>
        <v>1484</v>
      </c>
      <c r="S9" s="111">
        <f t="shared" si="7"/>
        <v>1</v>
      </c>
      <c r="T9" s="109">
        <f t="shared" si="8"/>
        <v>0</v>
      </c>
      <c r="U9" s="112">
        <f>1/(1+(10^($W9/Teams!$F$3)))</f>
        <v>0.4540780772195163</v>
      </c>
      <c r="V9" s="113">
        <f>1/(1+(10^($X9/Teams!$F$3)))</f>
        <v>0.5459219227804837</v>
      </c>
      <c r="W9" s="111">
        <f t="shared" si="9"/>
        <v>32</v>
      </c>
      <c r="X9" s="109">
        <f t="shared" si="10"/>
        <v>-32</v>
      </c>
      <c r="Y9" s="109">
        <f>ROUND($Q9+(Teams!$F$2*($S9-$U9)),0)</f>
        <v>1533</v>
      </c>
      <c r="Z9" s="109">
        <f>ROUND($R9+(Teams!$F$2*($T9-$V9)),0)</f>
        <v>1467</v>
      </c>
    </row>
    <row r="10" spans="2:26" ht="12.75">
      <c r="B10" s="34">
        <v>2</v>
      </c>
      <c r="C10" s="35" t="s">
        <v>54</v>
      </c>
      <c r="D10" s="22" t="str">
        <f>INDEX(Teams!$B$5:$E$37,MATCH(Results!C10,Teams!$B$5:$B$37,0),4)</f>
        <v>MPT</v>
      </c>
      <c r="E10" s="24">
        <v>3</v>
      </c>
      <c r="F10" s="25">
        <v>30</v>
      </c>
      <c r="G10" s="22" t="str">
        <f>INDEX(Teams!$B$5:$E$37,MATCH(Results!H10,Teams!$B$5:$B$37,0),4)</f>
        <v>CLD</v>
      </c>
      <c r="H10" s="39" t="s">
        <v>19</v>
      </c>
      <c r="I10" s="32" t="str">
        <f>INDEX(Teams!$B$5:$F$15,MATCH(Results!$C10,Teams!$B$5:$B$15,0),2)</f>
        <v>Milli Stadium</v>
      </c>
      <c r="J10" s="63" t="str">
        <f t="shared" si="0"/>
        <v>MPTCLD</v>
      </c>
      <c r="K10" s="40" t="str">
        <f t="shared" si="1"/>
        <v>CLD</v>
      </c>
      <c r="L10" s="40">
        <f t="shared" si="2"/>
        <v>1</v>
      </c>
      <c r="M10" s="40">
        <f t="shared" si="3"/>
        <v>27</v>
      </c>
      <c r="N10" s="40" t="str">
        <f t="shared" si="4"/>
        <v>Away</v>
      </c>
      <c r="O10" s="107" t="str">
        <f t="shared" si="5"/>
        <v>MPT2</v>
      </c>
      <c r="P10" s="109" t="str">
        <f t="shared" si="6"/>
        <v>CLD2</v>
      </c>
      <c r="Q10" s="109">
        <f>INDEX(RankPoints!$B$2:$L$14,Results!$B10+1,MATCH(Results!$D10,RankPoints!$B$2:$L$2,0))</f>
        <v>1484</v>
      </c>
      <c r="R10" s="109">
        <f>INDEX(RankPoints!$B$2:$L$14,Results!$B10+1,MATCH(Results!$G10,RankPoints!$B$2:$L$2,0))</f>
        <v>1516</v>
      </c>
      <c r="S10" s="111">
        <f t="shared" si="7"/>
        <v>0</v>
      </c>
      <c r="T10" s="109">
        <f t="shared" si="8"/>
        <v>1</v>
      </c>
      <c r="U10" s="112">
        <f>1/(1+(10^($W10/Teams!$F$3)))</f>
        <v>0.5459219227804837</v>
      </c>
      <c r="V10" s="113">
        <f>1/(1+(10^($X10/Teams!$F$3)))</f>
        <v>0.4540780772195163</v>
      </c>
      <c r="W10" s="111">
        <f t="shared" si="9"/>
        <v>-32</v>
      </c>
      <c r="X10" s="109">
        <f t="shared" si="10"/>
        <v>32</v>
      </c>
      <c r="Y10" s="109">
        <f>ROUND($Q10+(Teams!$F$2*($S10-$U10)),0)</f>
        <v>1467</v>
      </c>
      <c r="Z10" s="109">
        <f>ROUND($R10+(Teams!$F$2*($T10-$V10)),0)</f>
        <v>1533</v>
      </c>
    </row>
    <row r="11" spans="2:26" ht="12.75">
      <c r="B11" s="34">
        <v>2</v>
      </c>
      <c r="C11" s="35" t="s">
        <v>62</v>
      </c>
      <c r="D11" s="22" t="str">
        <f>INDEX(Teams!$B$5:$E$37,MATCH(Results!C11,Teams!$B$5:$B$37,0),4)</f>
        <v>HDS</v>
      </c>
      <c r="E11" s="24">
        <v>17</v>
      </c>
      <c r="F11" s="25">
        <v>20</v>
      </c>
      <c r="G11" s="22" t="str">
        <f>INDEX(Teams!$B$5:$E$37,MATCH(Results!H11,Teams!$B$5:$B$37,0),4)</f>
        <v>UTC</v>
      </c>
      <c r="H11" s="39" t="s">
        <v>63</v>
      </c>
      <c r="I11" s="32" t="str">
        <f>INDEX(Teams!$B$5:$F$15,MATCH(Results!$C11,Teams!$B$5:$B$15,0),2)</f>
        <v>James A. Hudson Memorial Field</v>
      </c>
      <c r="J11" s="63" t="str">
        <f t="shared" si="0"/>
        <v>HDSUTC</v>
      </c>
      <c r="K11" s="40" t="str">
        <f t="shared" si="1"/>
        <v>UTC</v>
      </c>
      <c r="L11" s="40">
        <f t="shared" si="2"/>
        <v>1</v>
      </c>
      <c r="M11" s="40">
        <f t="shared" si="3"/>
        <v>3</v>
      </c>
      <c r="N11" s="40" t="str">
        <f t="shared" si="4"/>
        <v>Away</v>
      </c>
      <c r="O11" s="107" t="str">
        <f t="shared" si="5"/>
        <v>HDS2</v>
      </c>
      <c r="P11" s="109" t="str">
        <f t="shared" si="6"/>
        <v>UTC2</v>
      </c>
      <c r="Q11" s="109">
        <f>INDEX(RankPoints!$B$2:$L$14,Results!$B11+1,MATCH(Results!$D11,RankPoints!$B$2:$L$2,0))</f>
        <v>1516</v>
      </c>
      <c r="R11" s="109">
        <f>INDEX(RankPoints!$B$2:$L$14,Results!$B11+1,MATCH(Results!$G11,RankPoints!$B$2:$L$2,0))</f>
        <v>1516</v>
      </c>
      <c r="S11" s="111">
        <f t="shared" si="7"/>
        <v>0</v>
      </c>
      <c r="T11" s="109">
        <f t="shared" si="8"/>
        <v>1</v>
      </c>
      <c r="U11" s="112">
        <f>1/(1+(10^($W11/Teams!$F$3)))</f>
        <v>0.5</v>
      </c>
      <c r="V11" s="113">
        <f>1/(1+(10^($X11/Teams!$F$3)))</f>
        <v>0.5</v>
      </c>
      <c r="W11" s="111">
        <f t="shared" si="9"/>
        <v>0</v>
      </c>
      <c r="X11" s="109">
        <f t="shared" si="10"/>
        <v>0</v>
      </c>
      <c r="Y11" s="109">
        <f>ROUND($Q11+(Teams!$F$2*($S11-$U11)),0)</f>
        <v>1500</v>
      </c>
      <c r="Z11" s="109">
        <f>ROUND($R11+(Teams!$F$2*($T11-$V11)),0)</f>
        <v>1532</v>
      </c>
    </row>
    <row r="12" spans="2:26" ht="12.75">
      <c r="B12" s="34">
        <v>2</v>
      </c>
      <c r="C12" s="35" t="s">
        <v>53</v>
      </c>
      <c r="D12" s="22" t="str">
        <f>INDEX(Teams!$B$5:$E$37,MATCH(Results!C12,Teams!$B$5:$B$37,0),4)</f>
        <v>NOV</v>
      </c>
      <c r="E12" s="24">
        <v>37</v>
      </c>
      <c r="F12" s="25">
        <v>14</v>
      </c>
      <c r="G12" s="22" t="str">
        <f>INDEX(Teams!$B$5:$E$37,MATCH(Results!H12,Teams!$B$5:$B$37,0),4)</f>
        <v>SNP</v>
      </c>
      <c r="H12" s="39" t="s">
        <v>52</v>
      </c>
      <c r="I12" s="32" t="str">
        <f>INDEX(Teams!$B$5:$F$15,MATCH(Results!$C12,Teams!$B$5:$B$15,0),2)</f>
        <v>The Wolf's Den</v>
      </c>
      <c r="J12" s="63" t="str">
        <f t="shared" si="0"/>
        <v>NOVSNP</v>
      </c>
      <c r="K12" s="40" t="str">
        <f t="shared" si="1"/>
        <v>NOV</v>
      </c>
      <c r="L12" s="40">
        <f t="shared" si="2"/>
        <v>1</v>
      </c>
      <c r="M12" s="40">
        <f t="shared" si="3"/>
        <v>23</v>
      </c>
      <c r="N12" s="40" t="str">
        <f t="shared" si="4"/>
        <v>Home</v>
      </c>
      <c r="O12" s="107" t="str">
        <f t="shared" si="5"/>
        <v>NOV2</v>
      </c>
      <c r="P12" s="109" t="str">
        <f t="shared" si="6"/>
        <v>SNP2</v>
      </c>
      <c r="Q12" s="109">
        <f>INDEX(RankPoints!$B$2:$L$14,Results!$B12+1,MATCH(Results!$D12,RankPoints!$B$2:$L$2,0))</f>
        <v>1484</v>
      </c>
      <c r="R12" s="109">
        <f>INDEX(RankPoints!$B$2:$L$14,Results!$B12+1,MATCH(Results!$G12,RankPoints!$B$2:$L$2,0))</f>
        <v>1484</v>
      </c>
      <c r="S12" s="111">
        <f t="shared" si="7"/>
        <v>1</v>
      </c>
      <c r="T12" s="109">
        <f t="shared" si="8"/>
        <v>0</v>
      </c>
      <c r="U12" s="112">
        <f>1/(1+(10^($W12/Teams!$F$3)))</f>
        <v>0.5</v>
      </c>
      <c r="V12" s="113">
        <f>1/(1+(10^($X12/Teams!$F$3)))</f>
        <v>0.5</v>
      </c>
      <c r="W12" s="111">
        <f t="shared" si="9"/>
        <v>0</v>
      </c>
      <c r="X12" s="109">
        <f t="shared" si="10"/>
        <v>0</v>
      </c>
      <c r="Y12" s="109">
        <f>ROUND($Q12+(Teams!$F$2*($S12-$U12)),0)</f>
        <v>1500</v>
      </c>
      <c r="Z12" s="109">
        <f>ROUND($R12+(Teams!$F$2*($T12-$V12)),0)</f>
        <v>1468</v>
      </c>
    </row>
    <row r="13" spans="2:26" ht="12.75">
      <c r="B13" s="34">
        <v>3</v>
      </c>
      <c r="C13" s="35" t="s">
        <v>19</v>
      </c>
      <c r="D13" s="22" t="str">
        <f>INDEX(Teams!$B$5:$E$37,MATCH(Results!C13,Teams!$B$5:$B$37,0),4)</f>
        <v>CLD</v>
      </c>
      <c r="E13" s="24">
        <v>34</v>
      </c>
      <c r="F13" s="25">
        <v>17</v>
      </c>
      <c r="G13" s="22" t="str">
        <f>INDEX(Teams!$B$5:$E$37,MATCH(Results!H13,Teams!$B$5:$B$37,0),4)</f>
        <v>NOV</v>
      </c>
      <c r="H13" s="39" t="s">
        <v>53</v>
      </c>
      <c r="I13" s="32" t="str">
        <f>INDEX(Teams!$B$5:$F$15,MATCH(Results!$C13,Teams!$B$5:$B$15,0),2)</f>
        <v>Dorrel Stadium</v>
      </c>
      <c r="J13" s="63" t="str">
        <f t="shared" si="0"/>
        <v>CLDNOV</v>
      </c>
      <c r="K13" s="40" t="str">
        <f t="shared" si="1"/>
        <v>CLD</v>
      </c>
      <c r="L13" s="40">
        <f t="shared" si="2"/>
        <v>1</v>
      </c>
      <c r="M13" s="40">
        <f t="shared" si="3"/>
        <v>17</v>
      </c>
      <c r="N13" s="40" t="str">
        <f t="shared" si="4"/>
        <v>Home</v>
      </c>
      <c r="O13" s="107" t="str">
        <f t="shared" si="5"/>
        <v>CLD3</v>
      </c>
      <c r="P13" s="109" t="str">
        <f t="shared" si="6"/>
        <v>NOV3</v>
      </c>
      <c r="Q13" s="109">
        <f>INDEX(RankPoints!$B$2:$L$14,Results!$B13+1,MATCH(Results!$D13,RankPoints!$B$2:$L$2,0))</f>
        <v>1533</v>
      </c>
      <c r="R13" s="109">
        <f>INDEX(RankPoints!$B$2:$L$14,Results!$B13+1,MATCH(Results!$G13,RankPoints!$B$2:$L$2,0))</f>
        <v>1500</v>
      </c>
      <c r="S13" s="111">
        <f t="shared" si="7"/>
        <v>1</v>
      </c>
      <c r="T13" s="109">
        <f t="shared" si="8"/>
        <v>0</v>
      </c>
      <c r="U13" s="112">
        <f>1/(1+(10^($W13/Teams!$F$3)))</f>
        <v>0.45265148195413535</v>
      </c>
      <c r="V13" s="113">
        <f>1/(1+(10^($X13/Teams!$F$3)))</f>
        <v>0.5473485180458647</v>
      </c>
      <c r="W13" s="111">
        <f t="shared" si="9"/>
        <v>33</v>
      </c>
      <c r="X13" s="109">
        <f t="shared" si="10"/>
        <v>-33</v>
      </c>
      <c r="Y13" s="109">
        <f>ROUND($Q13+(Teams!$F$2*($S13-$U13)),0)</f>
        <v>1551</v>
      </c>
      <c r="Z13" s="109">
        <f>ROUND($R13+(Teams!$F$2*($T13-$V13)),0)</f>
        <v>1482</v>
      </c>
    </row>
    <row r="14" spans="2:26" ht="12.75">
      <c r="B14" s="34">
        <v>3</v>
      </c>
      <c r="C14" s="35" t="s">
        <v>56</v>
      </c>
      <c r="D14" s="22" t="str">
        <f>INDEX(Teams!$B$5:$E$37,MATCH(Results!C14,Teams!$B$5:$B$37,0),4)</f>
        <v>LUT</v>
      </c>
      <c r="E14" s="24">
        <v>20</v>
      </c>
      <c r="F14" s="25">
        <v>13</v>
      </c>
      <c r="G14" s="22" t="str">
        <f>INDEX(Teams!$B$5:$E$37,MATCH(Results!H14,Teams!$B$5:$B$37,0),4)</f>
        <v>MPT</v>
      </c>
      <c r="H14" s="39" t="s">
        <v>54</v>
      </c>
      <c r="I14" s="32" t="str">
        <f>INDEX(Teams!$B$5:$F$15,MATCH(Results!$C14,Teams!$B$5:$B$15,0),2)</f>
        <v>Luther Field</v>
      </c>
      <c r="J14" s="63" t="str">
        <f t="shared" si="0"/>
        <v>LUTMPT</v>
      </c>
      <c r="K14" s="40" t="str">
        <f t="shared" si="1"/>
        <v>LUT</v>
      </c>
      <c r="L14" s="40">
        <f t="shared" si="2"/>
        <v>1</v>
      </c>
      <c r="M14" s="40">
        <f t="shared" si="3"/>
        <v>7</v>
      </c>
      <c r="N14" s="40" t="str">
        <f t="shared" si="4"/>
        <v>Home</v>
      </c>
      <c r="O14" s="107" t="str">
        <f t="shared" si="5"/>
        <v>LUT3</v>
      </c>
      <c r="P14" s="109" t="str">
        <f t="shared" si="6"/>
        <v>MPT3</v>
      </c>
      <c r="Q14" s="109">
        <f>INDEX(RankPoints!$B$2:$L$14,Results!$B14+1,MATCH(Results!$D14,RankPoints!$B$2:$L$2,0))</f>
        <v>1467</v>
      </c>
      <c r="R14" s="109">
        <f>INDEX(RankPoints!$B$2:$L$14,Results!$B14+1,MATCH(Results!$G14,RankPoints!$B$2:$L$2,0))</f>
        <v>1467</v>
      </c>
      <c r="S14" s="111">
        <f t="shared" si="7"/>
        <v>1</v>
      </c>
      <c r="T14" s="109">
        <f t="shared" si="8"/>
        <v>0</v>
      </c>
      <c r="U14" s="112">
        <f>1/(1+(10^($W14/Teams!$F$3)))</f>
        <v>0.5</v>
      </c>
      <c r="V14" s="113">
        <f>1/(1+(10^($X14/Teams!$F$3)))</f>
        <v>0.5</v>
      </c>
      <c r="W14" s="111">
        <f t="shared" si="9"/>
        <v>0</v>
      </c>
      <c r="X14" s="109">
        <f t="shared" si="10"/>
        <v>0</v>
      </c>
      <c r="Y14" s="109">
        <f>ROUND($Q14+(Teams!$F$2*($S14-$U14)),0)</f>
        <v>1483</v>
      </c>
      <c r="Z14" s="109">
        <f>ROUND($R14+(Teams!$F$2*($T14-$V14)),0)</f>
        <v>1451</v>
      </c>
    </row>
    <row r="15" spans="2:26" ht="12.75">
      <c r="B15" s="34">
        <v>3</v>
      </c>
      <c r="C15" s="35" t="s">
        <v>55</v>
      </c>
      <c r="D15" s="22" t="str">
        <f>INDEX(Teams!$B$5:$E$37,MATCH(Results!C15,Teams!$B$5:$B$37,0),4)</f>
        <v>NRT</v>
      </c>
      <c r="E15" s="24">
        <v>20</v>
      </c>
      <c r="F15" s="25">
        <v>23</v>
      </c>
      <c r="G15" s="22" t="str">
        <f>INDEX(Teams!$B$5:$E$37,MATCH(Results!H15,Teams!$B$5:$B$37,0),4)</f>
        <v>HDS</v>
      </c>
      <c r="H15" s="39" t="s">
        <v>62</v>
      </c>
      <c r="I15" s="32" t="str">
        <f>INDEX(Teams!$B$5:$F$15,MATCH(Results!$C15,Teams!$B$5:$B$15,0),2)</f>
        <v>Northumberland Park</v>
      </c>
      <c r="J15" s="63" t="str">
        <f t="shared" si="0"/>
        <v>NRTHDS</v>
      </c>
      <c r="K15" s="40" t="str">
        <f t="shared" si="1"/>
        <v>HDS</v>
      </c>
      <c r="L15" s="40">
        <f t="shared" si="2"/>
        <v>1</v>
      </c>
      <c r="M15" s="40">
        <f t="shared" si="3"/>
        <v>3</v>
      </c>
      <c r="N15" s="40" t="str">
        <f t="shared" si="4"/>
        <v>Away</v>
      </c>
      <c r="O15" s="107" t="str">
        <f t="shared" si="5"/>
        <v>NRT3</v>
      </c>
      <c r="P15" s="109" t="str">
        <f t="shared" si="6"/>
        <v>HDS3</v>
      </c>
      <c r="Q15" s="109">
        <f>INDEX(RankPoints!$B$2:$L$14,Results!$B15+1,MATCH(Results!$D15,RankPoints!$B$2:$L$2,0))</f>
        <v>1467</v>
      </c>
      <c r="R15" s="109">
        <f>INDEX(RankPoints!$B$2:$L$14,Results!$B15+1,MATCH(Results!$G15,RankPoints!$B$2:$L$2,0))</f>
        <v>1500</v>
      </c>
      <c r="S15" s="111">
        <f t="shared" si="7"/>
        <v>0</v>
      </c>
      <c r="T15" s="109">
        <f t="shared" si="8"/>
        <v>1</v>
      </c>
      <c r="U15" s="112">
        <f>1/(1+(10^($W15/Teams!$F$3)))</f>
        <v>0.5473485180458647</v>
      </c>
      <c r="V15" s="113">
        <f>1/(1+(10^($X15/Teams!$F$3)))</f>
        <v>0.45265148195413535</v>
      </c>
      <c r="W15" s="111">
        <f t="shared" si="9"/>
        <v>-33</v>
      </c>
      <c r="X15" s="109">
        <f t="shared" si="10"/>
        <v>33</v>
      </c>
      <c r="Y15" s="109">
        <f>ROUND($Q15+(Teams!$F$2*($S15-$U15)),0)</f>
        <v>1449</v>
      </c>
      <c r="Z15" s="109">
        <f>ROUND($R15+(Teams!$F$2*($T15-$V15)),0)</f>
        <v>1518</v>
      </c>
    </row>
    <row r="16" spans="2:26" ht="12.75">
      <c r="B16" s="34">
        <v>3</v>
      </c>
      <c r="C16" s="35" t="s">
        <v>63</v>
      </c>
      <c r="D16" s="22" t="str">
        <f>INDEX(Teams!$B$5:$E$37,MATCH(Results!C16,Teams!$B$5:$B$37,0),4)</f>
        <v>UTC</v>
      </c>
      <c r="E16" s="24">
        <v>45</v>
      </c>
      <c r="F16" s="25">
        <v>24</v>
      </c>
      <c r="G16" s="22" t="str">
        <f>INDEX(Teams!$B$5:$E$37,MATCH(Results!H16,Teams!$B$5:$B$37,0),4)</f>
        <v>SNP</v>
      </c>
      <c r="H16" s="39" t="s">
        <v>52</v>
      </c>
      <c r="I16" s="32" t="str">
        <f>INDEX(Teams!$B$5:$F$15,MATCH(Results!$C16,Teams!$B$5:$B$15,0),2)</f>
        <v>The Pit</v>
      </c>
      <c r="J16" s="63" t="str">
        <f t="shared" si="0"/>
        <v>UTCSNP</v>
      </c>
      <c r="K16" s="40" t="str">
        <f t="shared" si="1"/>
        <v>UTC</v>
      </c>
      <c r="L16" s="40">
        <f t="shared" si="2"/>
        <v>1</v>
      </c>
      <c r="M16" s="40">
        <f t="shared" si="3"/>
        <v>21</v>
      </c>
      <c r="N16" s="40" t="str">
        <f t="shared" si="4"/>
        <v>Home</v>
      </c>
      <c r="O16" s="107" t="str">
        <f t="shared" si="5"/>
        <v>UTC3</v>
      </c>
      <c r="P16" s="109" t="str">
        <f t="shared" si="6"/>
        <v>SNP3</v>
      </c>
      <c r="Q16" s="109">
        <f>INDEX(RankPoints!$B$2:$L$14,Results!$B16+1,MATCH(Results!$D16,RankPoints!$B$2:$L$2,0))</f>
        <v>1532</v>
      </c>
      <c r="R16" s="109">
        <f>INDEX(RankPoints!$B$2:$L$14,Results!$B16+1,MATCH(Results!$G16,RankPoints!$B$2:$L$2,0))</f>
        <v>1468</v>
      </c>
      <c r="S16" s="111">
        <f t="shared" si="7"/>
        <v>1</v>
      </c>
      <c r="T16" s="109">
        <f t="shared" si="8"/>
        <v>0</v>
      </c>
      <c r="U16" s="112">
        <f>1/(1+(10^($W16/Teams!$F$3)))</f>
        <v>0.4089244036850566</v>
      </c>
      <c r="V16" s="113">
        <f>1/(1+(10^($X16/Teams!$F$3)))</f>
        <v>0.5910755963149433</v>
      </c>
      <c r="W16" s="111">
        <f t="shared" si="9"/>
        <v>64</v>
      </c>
      <c r="X16" s="109">
        <f t="shared" si="10"/>
        <v>-64</v>
      </c>
      <c r="Y16" s="109">
        <f>ROUND($Q16+(Teams!$F$2*($S16-$U16)),0)</f>
        <v>1551</v>
      </c>
      <c r="Z16" s="109">
        <f>ROUND($R16+(Teams!$F$2*($T16-$V16)),0)</f>
        <v>1449</v>
      </c>
    </row>
    <row r="17" spans="2:26" ht="12.75">
      <c r="B17" s="34">
        <v>3</v>
      </c>
      <c r="C17" s="35" t="s">
        <v>20</v>
      </c>
      <c r="D17" s="22" t="str">
        <f>INDEX(Teams!$B$5:$E$37,MATCH(Results!C17,Teams!$B$5:$B$37,0),4)</f>
        <v>RCU</v>
      </c>
      <c r="E17" s="24">
        <v>17</v>
      </c>
      <c r="F17" s="25">
        <v>20</v>
      </c>
      <c r="G17" s="22" t="str">
        <f>INDEX(Teams!$B$5:$E$37,MATCH(Results!H17,Teams!$B$5:$B$37,0),4)</f>
        <v>ARK</v>
      </c>
      <c r="H17" s="39" t="s">
        <v>64</v>
      </c>
      <c r="I17" s="32" t="str">
        <f>INDEX(Teams!$B$5:$F$15,MATCH(Results!$C17,Teams!$B$5:$B$15,0),2)</f>
        <v>Capital Coliseum</v>
      </c>
      <c r="J17" s="63" t="str">
        <f t="shared" si="0"/>
        <v>RCUARK</v>
      </c>
      <c r="K17" s="40" t="str">
        <f t="shared" si="1"/>
        <v>ARK</v>
      </c>
      <c r="L17" s="40">
        <f t="shared" si="2"/>
        <v>1</v>
      </c>
      <c r="M17" s="40">
        <f t="shared" si="3"/>
        <v>3</v>
      </c>
      <c r="N17" s="40" t="str">
        <f t="shared" si="4"/>
        <v>Away</v>
      </c>
      <c r="O17" s="107" t="str">
        <f t="shared" si="5"/>
        <v>RCU3</v>
      </c>
      <c r="P17" s="109" t="str">
        <f t="shared" si="6"/>
        <v>ARK3</v>
      </c>
      <c r="Q17" s="109">
        <f>INDEX(RankPoints!$B$2:$L$14,Results!$B17+1,MATCH(Results!$D17,RankPoints!$B$2:$L$2,0))</f>
        <v>1533</v>
      </c>
      <c r="R17" s="109">
        <f>INDEX(RankPoints!$B$2:$L$14,Results!$B17+1,MATCH(Results!$G17,RankPoints!$B$2:$L$2,0))</f>
        <v>1533</v>
      </c>
      <c r="S17" s="111">
        <f t="shared" si="7"/>
        <v>0</v>
      </c>
      <c r="T17" s="109">
        <f t="shared" si="8"/>
        <v>1</v>
      </c>
      <c r="U17" s="112">
        <f>1/(1+(10^($W17/Teams!$F$3)))</f>
        <v>0.5</v>
      </c>
      <c r="V17" s="113">
        <f>1/(1+(10^($X17/Teams!$F$3)))</f>
        <v>0.5</v>
      </c>
      <c r="W17" s="111">
        <f t="shared" si="9"/>
        <v>0</v>
      </c>
      <c r="X17" s="109">
        <f t="shared" si="10"/>
        <v>0</v>
      </c>
      <c r="Y17" s="109">
        <f>ROUND($Q17+(Teams!$F$2*($S17-$U17)),0)</f>
        <v>1517</v>
      </c>
      <c r="Z17" s="109">
        <f>ROUND($R17+(Teams!$F$2*($T17-$V17)),0)</f>
        <v>1549</v>
      </c>
    </row>
    <row r="18" spans="2:26" ht="12.75">
      <c r="B18" s="34">
        <v>4</v>
      </c>
      <c r="C18" s="35" t="s">
        <v>19</v>
      </c>
      <c r="D18" s="22" t="str">
        <f>INDEX(Teams!$B$5:$E$37,MATCH(Results!C18,Teams!$B$5:$B$37,0),4)</f>
        <v>CLD</v>
      </c>
      <c r="E18" s="24">
        <v>24</v>
      </c>
      <c r="F18" s="25">
        <v>13</v>
      </c>
      <c r="G18" s="22" t="str">
        <f>INDEX(Teams!$B$5:$E$37,MATCH(Results!H18,Teams!$B$5:$B$37,0),4)</f>
        <v>LUT</v>
      </c>
      <c r="H18" s="39" t="s">
        <v>56</v>
      </c>
      <c r="I18" s="32" t="str">
        <f>INDEX(Teams!$B$5:$F$15,MATCH(Results!$C18,Teams!$B$5:$B$15,0),2)</f>
        <v>Dorrel Stadium</v>
      </c>
      <c r="J18" s="63" t="str">
        <f>D18&amp;G18</f>
        <v>CLDLUT</v>
      </c>
      <c r="K18" s="40" t="str">
        <f>IF(L18=0,"",IF(E18&gt;F18,D18,G18))</f>
        <v>CLD</v>
      </c>
      <c r="L18" s="40">
        <f>IF(OR(E18="",F18=""),0,1)</f>
        <v>1</v>
      </c>
      <c r="M18" s="40">
        <f>ABS(E18-F18)</f>
        <v>11</v>
      </c>
      <c r="N18" s="40" t="str">
        <f>IF(K18="","",IF(K18=D18,"Home","Away"))</f>
        <v>Home</v>
      </c>
      <c r="O18" s="107" t="str">
        <f>$D18&amp;$B18</f>
        <v>CLD4</v>
      </c>
      <c r="P18" s="109" t="str">
        <f>$G18&amp;$B18</f>
        <v>LUT4</v>
      </c>
      <c r="Q18" s="109">
        <f>INDEX(RankPoints!$B$2:$L$14,Results!$B18+1,MATCH(Results!$D18,RankPoints!$B$2:$L$2,0))</f>
        <v>1551</v>
      </c>
      <c r="R18" s="109">
        <f>INDEX(RankPoints!$B$2:$L$14,Results!$B18+1,MATCH(Results!$G18,RankPoints!$B$2:$L$2,0))</f>
        <v>1483</v>
      </c>
      <c r="S18" s="111">
        <f t="shared" si="7"/>
        <v>1</v>
      </c>
      <c r="T18" s="109">
        <f t="shared" si="8"/>
        <v>0</v>
      </c>
      <c r="U18" s="112">
        <f>1/(1+(10^($W18/Teams!$F$3)))</f>
        <v>0.403370826694226</v>
      </c>
      <c r="V18" s="113">
        <f>1/(1+(10^($X18/Teams!$F$3)))</f>
        <v>0.5966291733057739</v>
      </c>
      <c r="W18" s="111">
        <f t="shared" si="9"/>
        <v>68</v>
      </c>
      <c r="X18" s="109">
        <f t="shared" si="10"/>
        <v>-68</v>
      </c>
      <c r="Y18" s="109">
        <f>ROUND($Q18+(Teams!$F$2*($S18-$U18)),0)</f>
        <v>1570</v>
      </c>
      <c r="Z18" s="109">
        <f>ROUND($R18+(Teams!$F$2*($T18-$V18)),0)</f>
        <v>1464</v>
      </c>
    </row>
    <row r="19" spans="2:26" ht="12.75">
      <c r="B19" s="34">
        <v>4</v>
      </c>
      <c r="C19" s="35" t="s">
        <v>53</v>
      </c>
      <c r="D19" s="22" t="str">
        <f>INDEX(Teams!$B$5:$E$37,MATCH(Results!C19,Teams!$B$5:$B$37,0),4)</f>
        <v>NOV</v>
      </c>
      <c r="E19" s="24">
        <v>34</v>
      </c>
      <c r="F19" s="25">
        <v>48</v>
      </c>
      <c r="G19" s="22" t="str">
        <f>INDEX(Teams!$B$5:$E$37,MATCH(Results!H19,Teams!$B$5:$B$37,0),4)</f>
        <v>RCU</v>
      </c>
      <c r="H19" s="39" t="s">
        <v>20</v>
      </c>
      <c r="I19" s="32" t="str">
        <f>INDEX(Teams!$B$5:$F$15,MATCH(Results!$C19,Teams!$B$5:$B$15,0),2)</f>
        <v>The Wolf's Den</v>
      </c>
      <c r="J19" s="63" t="str">
        <f>D19&amp;G19</f>
        <v>NOVRCU</v>
      </c>
      <c r="K19" s="40" t="str">
        <f>IF(L19=0,"",IF(E19&gt;F19,D19,G19))</f>
        <v>RCU</v>
      </c>
      <c r="L19" s="40">
        <f>IF(OR(E19="",F19=""),0,1)</f>
        <v>1</v>
      </c>
      <c r="M19" s="40">
        <f>ABS(E19-F19)</f>
        <v>14</v>
      </c>
      <c r="N19" s="40" t="str">
        <f>IF(K19="","",IF(K19=D19,"Home","Away"))</f>
        <v>Away</v>
      </c>
      <c r="O19" s="107" t="str">
        <f>$D19&amp;$B19</f>
        <v>NOV4</v>
      </c>
      <c r="P19" s="109" t="str">
        <f>$G19&amp;$B19</f>
        <v>RCU4</v>
      </c>
      <c r="Q19" s="109">
        <f>INDEX(RankPoints!$B$2:$L$14,Results!$B19+1,MATCH(Results!$D19,RankPoints!$B$2:$L$2,0))</f>
        <v>1482</v>
      </c>
      <c r="R19" s="109">
        <f>INDEX(RankPoints!$B$2:$L$14,Results!$B19+1,MATCH(Results!$G19,RankPoints!$B$2:$L$2,0))</f>
        <v>1517</v>
      </c>
      <c r="S19" s="111">
        <f t="shared" si="7"/>
        <v>0</v>
      </c>
      <c r="T19" s="109">
        <f t="shared" si="8"/>
        <v>1</v>
      </c>
      <c r="U19" s="112">
        <f>1/(1+(10^($W19/Teams!$F$3)))</f>
        <v>0.550199353253537</v>
      </c>
      <c r="V19" s="113">
        <f>1/(1+(10^($X19/Teams!$F$3)))</f>
        <v>0.449800646746463</v>
      </c>
      <c r="W19" s="111">
        <f t="shared" si="9"/>
        <v>-35</v>
      </c>
      <c r="X19" s="109">
        <f t="shared" si="10"/>
        <v>35</v>
      </c>
      <c r="Y19" s="109">
        <f>ROUND($Q19+(Teams!$F$2*($S19-$U19)),0)</f>
        <v>1464</v>
      </c>
      <c r="Z19" s="109">
        <f>ROUND($R19+(Teams!$F$2*($T19-$V19)),0)</f>
        <v>1535</v>
      </c>
    </row>
    <row r="20" spans="2:26" ht="12.75">
      <c r="B20" s="34">
        <v>4</v>
      </c>
      <c r="C20" s="35" t="s">
        <v>64</v>
      </c>
      <c r="D20" s="22" t="str">
        <f>INDEX(Teams!$B$5:$E$37,MATCH(Results!C20,Teams!$B$5:$B$37,0),4)</f>
        <v>ARK</v>
      </c>
      <c r="E20" s="24">
        <v>37</v>
      </c>
      <c r="F20" s="25">
        <v>14</v>
      </c>
      <c r="G20" s="22" t="str">
        <f>INDEX(Teams!$B$5:$E$37,MATCH(Results!H20,Teams!$B$5:$B$37,0),4)</f>
        <v>UTC</v>
      </c>
      <c r="H20" s="39" t="s">
        <v>63</v>
      </c>
      <c r="I20" s="32" t="str">
        <f>INDEX(Teams!$B$5:$F$15,MATCH(Results!$C20,Teams!$B$5:$B$15,0),2)</f>
        <v>Walker Field</v>
      </c>
      <c r="J20" s="63" t="str">
        <f>D20&amp;G20</f>
        <v>ARKUTC</v>
      </c>
      <c r="K20" s="40" t="str">
        <f>IF(L20=0,"",IF(E20&gt;F20,D20,G20))</f>
        <v>ARK</v>
      </c>
      <c r="L20" s="40">
        <f>IF(OR(E20="",F20=""),0,1)</f>
        <v>1</v>
      </c>
      <c r="M20" s="40">
        <f>ABS(E20-F20)</f>
        <v>23</v>
      </c>
      <c r="N20" s="40" t="str">
        <f>IF(K20="","",IF(K20=D20,"Home","Away"))</f>
        <v>Home</v>
      </c>
      <c r="O20" s="107" t="str">
        <f>$D20&amp;$B20</f>
        <v>ARK4</v>
      </c>
      <c r="P20" s="109" t="str">
        <f>$G20&amp;$B20</f>
        <v>UTC4</v>
      </c>
      <c r="Q20" s="109">
        <f>INDEX(RankPoints!$B$2:$L$14,Results!$B20+1,MATCH(Results!$D20,RankPoints!$B$2:$L$2,0))</f>
        <v>1549</v>
      </c>
      <c r="R20" s="109">
        <f>INDEX(RankPoints!$B$2:$L$14,Results!$B20+1,MATCH(Results!$G20,RankPoints!$B$2:$L$2,0))</f>
        <v>1551</v>
      </c>
      <c r="S20" s="111">
        <f t="shared" si="7"/>
        <v>1</v>
      </c>
      <c r="T20" s="109">
        <f t="shared" si="8"/>
        <v>0</v>
      </c>
      <c r="U20" s="112">
        <f>1/(1+(10^($W20/Teams!$F$3)))</f>
        <v>0.502878199574811</v>
      </c>
      <c r="V20" s="113">
        <f>1/(1+(10^($X20/Teams!$F$3)))</f>
        <v>0.4971218004251891</v>
      </c>
      <c r="W20" s="111">
        <f t="shared" si="9"/>
        <v>-2</v>
      </c>
      <c r="X20" s="109">
        <f t="shared" si="10"/>
        <v>2</v>
      </c>
      <c r="Y20" s="109">
        <f>ROUND($Q20+(Teams!$F$2*($S20-$U20)),0)</f>
        <v>1565</v>
      </c>
      <c r="Z20" s="109">
        <f>ROUND($R20+(Teams!$F$2*($T20-$V20)),0)</f>
        <v>1535</v>
      </c>
    </row>
    <row r="21" spans="2:26" ht="12.75">
      <c r="B21" s="34">
        <v>4</v>
      </c>
      <c r="C21" s="35" t="s">
        <v>54</v>
      </c>
      <c r="D21" s="22" t="str">
        <f>INDEX(Teams!$B$5:$E$37,MATCH(Results!C21,Teams!$B$5:$B$37,0),4)</f>
        <v>MPT</v>
      </c>
      <c r="E21" s="24">
        <v>17</v>
      </c>
      <c r="F21" s="25">
        <v>47</v>
      </c>
      <c r="G21" s="22" t="str">
        <f>INDEX(Teams!$B$5:$E$37,MATCH(Results!H21,Teams!$B$5:$B$37,0),4)</f>
        <v>HDS</v>
      </c>
      <c r="H21" s="39" t="s">
        <v>62</v>
      </c>
      <c r="I21" s="32" t="str">
        <f>INDEX(Teams!$B$5:$F$15,MATCH(Results!$C21,Teams!$B$5:$B$15,0),2)</f>
        <v>Milli Stadium</v>
      </c>
      <c r="J21" s="63" t="str">
        <f>D21&amp;G21</f>
        <v>MPTHDS</v>
      </c>
      <c r="K21" s="40" t="str">
        <f>IF(L21=0,"",IF(E21&gt;F21,D21,G21))</f>
        <v>HDS</v>
      </c>
      <c r="L21" s="40">
        <f>IF(OR(E21="",F21=""),0,1)</f>
        <v>1</v>
      </c>
      <c r="M21" s="40">
        <f>ABS(E21-F21)</f>
        <v>30</v>
      </c>
      <c r="N21" s="40" t="str">
        <f>IF(K21="","",IF(K21=D21,"Home","Away"))</f>
        <v>Away</v>
      </c>
      <c r="O21" s="107" t="str">
        <f>$D21&amp;$B21</f>
        <v>MPT4</v>
      </c>
      <c r="P21" s="109" t="str">
        <f>$G21&amp;$B21</f>
        <v>HDS4</v>
      </c>
      <c r="Q21" s="109">
        <f>INDEX(RankPoints!$B$2:$L$14,Results!$B21+1,MATCH(Results!$D21,RankPoints!$B$2:$L$2,0))</f>
        <v>1451</v>
      </c>
      <c r="R21" s="109">
        <f>INDEX(RankPoints!$B$2:$L$14,Results!$B21+1,MATCH(Results!$G21,RankPoints!$B$2:$L$2,0))</f>
        <v>1518</v>
      </c>
      <c r="S21" s="111">
        <f t="shared" si="7"/>
        <v>0</v>
      </c>
      <c r="T21" s="109">
        <f t="shared" si="8"/>
        <v>1</v>
      </c>
      <c r="U21" s="112">
        <f>1/(1+(10^($W21/Teams!$F$3)))</f>
        <v>0.5952430396515719</v>
      </c>
      <c r="V21" s="113">
        <f>1/(1+(10^($X21/Teams!$F$3)))</f>
        <v>0.4047569603484281</v>
      </c>
      <c r="W21" s="111">
        <f t="shared" si="9"/>
        <v>-67</v>
      </c>
      <c r="X21" s="109">
        <f t="shared" si="10"/>
        <v>67</v>
      </c>
      <c r="Y21" s="109">
        <f>ROUND($Q21+(Teams!$F$2*($S21-$U21)),0)</f>
        <v>1432</v>
      </c>
      <c r="Z21" s="109">
        <f>ROUND($R21+(Teams!$F$2*($T21-$V21)),0)</f>
        <v>1537</v>
      </c>
    </row>
    <row r="22" spans="2:26" ht="12.75">
      <c r="B22" s="34">
        <v>4</v>
      </c>
      <c r="C22" s="35" t="s">
        <v>52</v>
      </c>
      <c r="D22" s="22" t="str">
        <f>INDEX(Teams!$B$5:$E$37,MATCH(Results!C22,Teams!$B$5:$B$37,0),4)</f>
        <v>SNP</v>
      </c>
      <c r="E22" s="24">
        <v>21</v>
      </c>
      <c r="F22" s="25">
        <v>20</v>
      </c>
      <c r="G22" s="22" t="str">
        <f>INDEX(Teams!$B$5:$E$37,MATCH(Results!H22,Teams!$B$5:$B$37,0),4)</f>
        <v>NRT</v>
      </c>
      <c r="H22" s="39" t="s">
        <v>55</v>
      </c>
      <c r="I22" s="32" t="str">
        <f>INDEX(Teams!$B$5:$F$15,MATCH(Results!$C22,Teams!$B$5:$B$15,0),2)</f>
        <v>Home Stadium</v>
      </c>
      <c r="J22" s="63" t="str">
        <f>D22&amp;G22</f>
        <v>SNPNRT</v>
      </c>
      <c r="K22" s="40" t="str">
        <f>IF(L22=0,"",IF(E22&gt;F22,D22,G22))</f>
        <v>SNP</v>
      </c>
      <c r="L22" s="40">
        <f>IF(OR(E22="",F22=""),0,1)</f>
        <v>1</v>
      </c>
      <c r="M22" s="40">
        <f>ABS(E22-F22)</f>
        <v>1</v>
      </c>
      <c r="N22" s="40" t="str">
        <f>IF(K22="","",IF(K22=D22,"Home","Away"))</f>
        <v>Home</v>
      </c>
      <c r="O22" s="107" t="str">
        <f>$D22&amp;$B22</f>
        <v>SNP4</v>
      </c>
      <c r="P22" s="109" t="str">
        <f>$G22&amp;$B22</f>
        <v>NRT4</v>
      </c>
      <c r="Q22" s="109">
        <f>INDEX(RankPoints!$B$2:$L$14,Results!$B22+1,MATCH(Results!$D22,RankPoints!$B$2:$L$2,0))</f>
        <v>1449</v>
      </c>
      <c r="R22" s="109">
        <f>INDEX(RankPoints!$B$2:$L$14,Results!$B22+1,MATCH(Results!$G22,RankPoints!$B$2:$L$2,0))</f>
        <v>1449</v>
      </c>
      <c r="S22" s="111">
        <f t="shared" si="7"/>
        <v>1</v>
      </c>
      <c r="T22" s="109">
        <f t="shared" si="8"/>
        <v>0</v>
      </c>
      <c r="U22" s="112">
        <f>1/(1+(10^($W22/Teams!$F$3)))</f>
        <v>0.5</v>
      </c>
      <c r="V22" s="113">
        <f>1/(1+(10^($X22/Teams!$F$3)))</f>
        <v>0.5</v>
      </c>
      <c r="W22" s="111">
        <f t="shared" si="9"/>
        <v>0</v>
      </c>
      <c r="X22" s="109">
        <f t="shared" si="10"/>
        <v>0</v>
      </c>
      <c r="Y22" s="109">
        <f>ROUND($Q22+(Teams!$F$2*($S22-$U22)),0)</f>
        <v>1465</v>
      </c>
      <c r="Z22" s="109">
        <f>ROUND($R22+(Teams!$F$2*($T22-$V22)),0)</f>
        <v>1433</v>
      </c>
    </row>
    <row r="23" spans="2:26" ht="12.75">
      <c r="B23" s="34">
        <v>5</v>
      </c>
      <c r="C23" s="35" t="s">
        <v>56</v>
      </c>
      <c r="D23" s="22" t="str">
        <f>INDEX(Teams!$B$5:$E$37,MATCH(Results!C23,Teams!$B$5:$B$37,0),4)</f>
        <v>LUT</v>
      </c>
      <c r="E23" s="24">
        <v>10</v>
      </c>
      <c r="F23" s="25">
        <v>24</v>
      </c>
      <c r="G23" s="22" t="str">
        <f>INDEX(Teams!$B$5:$E$37,MATCH(Results!H23,Teams!$B$5:$B$37,0),4)</f>
        <v>UTC</v>
      </c>
      <c r="H23" s="39" t="s">
        <v>63</v>
      </c>
      <c r="I23" s="32" t="str">
        <f>INDEX(Teams!$B$5:$F$15,MATCH(Results!$C23,Teams!$B$5:$B$15,0),2)</f>
        <v>Luther Field</v>
      </c>
      <c r="J23" s="63" t="str">
        <f t="shared" si="0"/>
        <v>LUTUTC</v>
      </c>
      <c r="K23" s="40" t="str">
        <f t="shared" si="1"/>
        <v>UTC</v>
      </c>
      <c r="L23" s="40">
        <f t="shared" si="2"/>
        <v>1</v>
      </c>
      <c r="M23" s="40">
        <f t="shared" si="3"/>
        <v>14</v>
      </c>
      <c r="N23" s="40" t="str">
        <f t="shared" si="4"/>
        <v>Away</v>
      </c>
      <c r="O23" s="107" t="str">
        <f t="shared" si="5"/>
        <v>LUT5</v>
      </c>
      <c r="P23" s="109" t="str">
        <f t="shared" si="6"/>
        <v>UTC5</v>
      </c>
      <c r="Q23" s="109">
        <f>INDEX(RankPoints!$B$2:$L$14,Results!$B23+1,MATCH(Results!$D23,RankPoints!$B$2:$L$2,0))</f>
        <v>1464</v>
      </c>
      <c r="R23" s="109">
        <f>INDEX(RankPoints!$B$2:$L$14,Results!$B23+1,MATCH(Results!$G23,RankPoints!$B$2:$L$2,0))</f>
        <v>1535</v>
      </c>
      <c r="S23" s="111">
        <f t="shared" si="7"/>
        <v>0</v>
      </c>
      <c r="T23" s="109">
        <f t="shared" si="8"/>
        <v>1</v>
      </c>
      <c r="U23" s="112">
        <f>1/(1+(10^($W23/Teams!$F$3)))</f>
        <v>0.6007782458900109</v>
      </c>
      <c r="V23" s="113">
        <f>1/(1+(10^($X23/Teams!$F$3)))</f>
        <v>0.399221754109989</v>
      </c>
      <c r="W23" s="111">
        <f t="shared" si="9"/>
        <v>-71</v>
      </c>
      <c r="X23" s="109">
        <f t="shared" si="10"/>
        <v>71</v>
      </c>
      <c r="Y23" s="109">
        <f>ROUND($Q23+(Teams!$F$2*($S23-$U23)),0)</f>
        <v>1445</v>
      </c>
      <c r="Z23" s="109">
        <f>ROUND($R23+(Teams!$F$2*($T23-$V23)),0)</f>
        <v>1554</v>
      </c>
    </row>
    <row r="24" spans="2:26" ht="12.75">
      <c r="B24" s="34">
        <v>5</v>
      </c>
      <c r="C24" s="35" t="s">
        <v>53</v>
      </c>
      <c r="D24" s="22" t="str">
        <f>INDEX(Teams!$B$5:$E$37,MATCH(Results!C24,Teams!$B$5:$B$37,0),4)</f>
        <v>NOV</v>
      </c>
      <c r="E24" s="24">
        <v>20</v>
      </c>
      <c r="F24" s="25">
        <v>31</v>
      </c>
      <c r="G24" s="22" t="str">
        <f>INDEX(Teams!$B$5:$E$37,MATCH(Results!H24,Teams!$B$5:$B$37,0),4)</f>
        <v>MPT</v>
      </c>
      <c r="H24" s="39" t="s">
        <v>54</v>
      </c>
      <c r="I24" s="32" t="str">
        <f>INDEX(Teams!$B$5:$F$15,MATCH(Results!$C24,Teams!$B$5:$B$15,0),2)</f>
        <v>The Wolf's Den</v>
      </c>
      <c r="J24" s="63" t="str">
        <f t="shared" si="0"/>
        <v>NOVMPT</v>
      </c>
      <c r="K24" s="40" t="str">
        <f t="shared" si="1"/>
        <v>MPT</v>
      </c>
      <c r="L24" s="40">
        <f t="shared" si="2"/>
        <v>1</v>
      </c>
      <c r="M24" s="40">
        <f t="shared" si="3"/>
        <v>11</v>
      </c>
      <c r="N24" s="40" t="str">
        <f t="shared" si="4"/>
        <v>Away</v>
      </c>
      <c r="O24" s="107" t="str">
        <f t="shared" si="5"/>
        <v>NOV5</v>
      </c>
      <c r="P24" s="109" t="str">
        <f t="shared" si="6"/>
        <v>MPT5</v>
      </c>
      <c r="Q24" s="109">
        <f>INDEX(RankPoints!$B$2:$L$14,Results!$B24+1,MATCH(Results!$D24,RankPoints!$B$2:$L$2,0))</f>
        <v>1464</v>
      </c>
      <c r="R24" s="109">
        <f>INDEX(RankPoints!$B$2:$L$14,Results!$B24+1,MATCH(Results!$G24,RankPoints!$B$2:$L$2,0))</f>
        <v>1432</v>
      </c>
      <c r="S24" s="111">
        <f t="shared" si="7"/>
        <v>0</v>
      </c>
      <c r="T24" s="109">
        <f t="shared" si="8"/>
        <v>1</v>
      </c>
      <c r="U24" s="112">
        <f>1/(1+(10^($W24/Teams!$F$3)))</f>
        <v>0.4540780772195163</v>
      </c>
      <c r="V24" s="113">
        <f>1/(1+(10^($X24/Teams!$F$3)))</f>
        <v>0.5459219227804837</v>
      </c>
      <c r="W24" s="111">
        <f t="shared" si="9"/>
        <v>32</v>
      </c>
      <c r="X24" s="109">
        <f t="shared" si="10"/>
        <v>-32</v>
      </c>
      <c r="Y24" s="109">
        <f>ROUND($Q24+(Teams!$F$2*($S24-$U24)),0)</f>
        <v>1449</v>
      </c>
      <c r="Z24" s="109">
        <f>ROUND($R24+(Teams!$F$2*($T24-$V24)),0)</f>
        <v>1447</v>
      </c>
    </row>
    <row r="25" spans="2:26" ht="12.75">
      <c r="B25" s="34">
        <v>5</v>
      </c>
      <c r="C25" s="35" t="s">
        <v>64</v>
      </c>
      <c r="D25" s="22" t="str">
        <f>INDEX(Teams!$B$5:$E$37,MATCH(Results!C25,Teams!$B$5:$B$37,0),4)</f>
        <v>ARK</v>
      </c>
      <c r="E25" s="24">
        <v>20</v>
      </c>
      <c r="F25" s="25">
        <v>13</v>
      </c>
      <c r="G25" s="22" t="str">
        <f>INDEX(Teams!$B$5:$E$37,MATCH(Results!H25,Teams!$B$5:$B$37,0),4)</f>
        <v>SNP</v>
      </c>
      <c r="H25" s="39" t="s">
        <v>52</v>
      </c>
      <c r="I25" s="32" t="str">
        <f>INDEX(Teams!$B$5:$F$15,MATCH(Results!$C25,Teams!$B$5:$B$15,0),2)</f>
        <v>Walker Field</v>
      </c>
      <c r="J25" s="63" t="str">
        <f t="shared" si="0"/>
        <v>ARKSNP</v>
      </c>
      <c r="K25" s="40" t="str">
        <f t="shared" si="1"/>
        <v>ARK</v>
      </c>
      <c r="L25" s="40">
        <f t="shared" si="2"/>
        <v>1</v>
      </c>
      <c r="M25" s="40">
        <f t="shared" si="3"/>
        <v>7</v>
      </c>
      <c r="N25" s="40" t="str">
        <f t="shared" si="4"/>
        <v>Home</v>
      </c>
      <c r="O25" s="107" t="str">
        <f t="shared" si="5"/>
        <v>ARK5</v>
      </c>
      <c r="P25" s="109" t="str">
        <f t="shared" si="6"/>
        <v>SNP5</v>
      </c>
      <c r="Q25" s="109">
        <f>INDEX(RankPoints!$B$2:$L$14,Results!$B25+1,MATCH(Results!$D25,RankPoints!$B$2:$L$2,0))</f>
        <v>1565</v>
      </c>
      <c r="R25" s="109">
        <f>INDEX(RankPoints!$B$2:$L$14,Results!$B25+1,MATCH(Results!$G25,RankPoints!$B$2:$L$2,0))</f>
        <v>1465</v>
      </c>
      <c r="S25" s="111">
        <f t="shared" si="7"/>
        <v>1</v>
      </c>
      <c r="T25" s="109">
        <f t="shared" si="8"/>
        <v>0</v>
      </c>
      <c r="U25" s="112">
        <f>1/(1+(10^($W25/Teams!$F$3)))</f>
        <v>0.3599350001971149</v>
      </c>
      <c r="V25" s="113">
        <f>1/(1+(10^($X25/Teams!$F$3)))</f>
        <v>0.6400649998028851</v>
      </c>
      <c r="W25" s="111">
        <f t="shared" si="9"/>
        <v>100</v>
      </c>
      <c r="X25" s="109">
        <f t="shared" si="10"/>
        <v>-100</v>
      </c>
      <c r="Y25" s="109">
        <f>ROUND($Q25+(Teams!$F$2*($S25-$U25)),0)</f>
        <v>1585</v>
      </c>
      <c r="Z25" s="109">
        <f>ROUND($R25+(Teams!$F$2*($T25-$V25)),0)</f>
        <v>1445</v>
      </c>
    </row>
    <row r="26" spans="2:26" ht="12.75">
      <c r="B26" s="34">
        <v>5</v>
      </c>
      <c r="C26" s="35" t="s">
        <v>19</v>
      </c>
      <c r="D26" s="22" t="str">
        <f>INDEX(Teams!$B$5:$E$37,MATCH(Results!C26,Teams!$B$5:$B$37,0),4)</f>
        <v>CLD</v>
      </c>
      <c r="E26" s="24">
        <v>27</v>
      </c>
      <c r="F26" s="25">
        <v>10</v>
      </c>
      <c r="G26" s="22" t="str">
        <f>INDEX(Teams!$B$5:$E$37,MATCH(Results!H26,Teams!$B$5:$B$37,0),4)</f>
        <v>NRT</v>
      </c>
      <c r="H26" s="39" t="s">
        <v>55</v>
      </c>
      <c r="I26" s="32" t="str">
        <f>INDEX(Teams!$B$5:$F$15,MATCH(Results!$C26,Teams!$B$5:$B$15,0),2)</f>
        <v>Dorrel Stadium</v>
      </c>
      <c r="J26" s="63" t="str">
        <f t="shared" si="0"/>
        <v>CLDNRT</v>
      </c>
      <c r="K26" s="40" t="str">
        <f t="shared" si="1"/>
        <v>CLD</v>
      </c>
      <c r="L26" s="40">
        <f t="shared" si="2"/>
        <v>1</v>
      </c>
      <c r="M26" s="40">
        <f t="shared" si="3"/>
        <v>17</v>
      </c>
      <c r="N26" s="40" t="str">
        <f t="shared" si="4"/>
        <v>Home</v>
      </c>
      <c r="O26" s="107" t="str">
        <f t="shared" si="5"/>
        <v>CLD5</v>
      </c>
      <c r="P26" s="109" t="str">
        <f t="shared" si="6"/>
        <v>NRT5</v>
      </c>
      <c r="Q26" s="109">
        <f>INDEX(RankPoints!$B$2:$L$14,Results!$B26+1,MATCH(Results!$D26,RankPoints!$B$2:$L$2,0))</f>
        <v>1570</v>
      </c>
      <c r="R26" s="109">
        <f>INDEX(RankPoints!$B$2:$L$14,Results!$B26+1,MATCH(Results!$G26,RankPoints!$B$2:$L$2,0))</f>
        <v>1433</v>
      </c>
      <c r="S26" s="111">
        <f t="shared" si="7"/>
        <v>1</v>
      </c>
      <c r="T26" s="109">
        <f t="shared" si="8"/>
        <v>0</v>
      </c>
      <c r="U26" s="112">
        <f>1/(1+(10^($W26/Teams!$F$3)))</f>
        <v>0.3124617517876582</v>
      </c>
      <c r="V26" s="113">
        <f>1/(1+(10^($X26/Teams!$F$3)))</f>
        <v>0.6875382482123418</v>
      </c>
      <c r="W26" s="111">
        <f t="shared" si="9"/>
        <v>137</v>
      </c>
      <c r="X26" s="109">
        <f t="shared" si="10"/>
        <v>-137</v>
      </c>
      <c r="Y26" s="109">
        <f>ROUND($Q26+(Teams!$F$2*($S26-$U26)),0)</f>
        <v>1592</v>
      </c>
      <c r="Z26" s="109">
        <f>ROUND($R26+(Teams!$F$2*($T26-$V26)),0)</f>
        <v>1411</v>
      </c>
    </row>
    <row r="27" spans="2:26" ht="12.75">
      <c r="B27" s="34">
        <v>5</v>
      </c>
      <c r="C27" s="35" t="s">
        <v>20</v>
      </c>
      <c r="D27" s="22" t="str">
        <f>INDEX(Teams!$B$5:$E$37,MATCH(Results!C27,Teams!$B$5:$B$37,0),4)</f>
        <v>RCU</v>
      </c>
      <c r="E27" s="24">
        <v>47</v>
      </c>
      <c r="F27" s="25">
        <v>34</v>
      </c>
      <c r="G27" s="22" t="str">
        <f>INDEX(Teams!$B$5:$E$37,MATCH(Results!H27,Teams!$B$5:$B$37,0),4)</f>
        <v>HDS</v>
      </c>
      <c r="H27" s="39" t="s">
        <v>62</v>
      </c>
      <c r="I27" s="32" t="str">
        <f>INDEX(Teams!$B$5:$F$15,MATCH(Results!$C27,Teams!$B$5:$B$15,0),2)</f>
        <v>Capital Coliseum</v>
      </c>
      <c r="J27" s="63" t="str">
        <f t="shared" si="0"/>
        <v>RCUHDS</v>
      </c>
      <c r="K27" s="40" t="str">
        <f t="shared" si="1"/>
        <v>RCU</v>
      </c>
      <c r="L27" s="40">
        <f t="shared" si="2"/>
        <v>1</v>
      </c>
      <c r="M27" s="40">
        <f t="shared" si="3"/>
        <v>13</v>
      </c>
      <c r="N27" s="40" t="str">
        <f t="shared" si="4"/>
        <v>Home</v>
      </c>
      <c r="O27" s="107" t="str">
        <f t="shared" si="5"/>
        <v>RCU5</v>
      </c>
      <c r="P27" s="109" t="str">
        <f t="shared" si="6"/>
        <v>HDS5</v>
      </c>
      <c r="Q27" s="109">
        <f>INDEX(RankPoints!$B$2:$L$14,Results!$B27+1,MATCH(Results!$D27,RankPoints!$B$2:$L$2,0))</f>
        <v>1535</v>
      </c>
      <c r="R27" s="109">
        <f>INDEX(RankPoints!$B$2:$L$14,Results!$B27+1,MATCH(Results!$G27,RankPoints!$B$2:$L$2,0))</f>
        <v>1537</v>
      </c>
      <c r="S27" s="111">
        <f t="shared" si="7"/>
        <v>1</v>
      </c>
      <c r="T27" s="109">
        <f t="shared" si="8"/>
        <v>0</v>
      </c>
      <c r="U27" s="112">
        <f>1/(1+(10^($W27/Teams!$F$3)))</f>
        <v>0.502878199574811</v>
      </c>
      <c r="V27" s="113">
        <f>1/(1+(10^($X27/Teams!$F$3)))</f>
        <v>0.4971218004251891</v>
      </c>
      <c r="W27" s="111">
        <f t="shared" si="9"/>
        <v>-2</v>
      </c>
      <c r="X27" s="109">
        <f t="shared" si="10"/>
        <v>2</v>
      </c>
      <c r="Y27" s="109">
        <f>ROUND($Q27+(Teams!$F$2*($S27-$U27)),0)</f>
        <v>1551</v>
      </c>
      <c r="Z27" s="109">
        <f>ROUND($R27+(Teams!$F$2*($T27-$V27)),0)</f>
        <v>1521</v>
      </c>
    </row>
    <row r="28" spans="2:26" ht="12.75">
      <c r="B28" s="34">
        <v>6</v>
      </c>
      <c r="C28" s="35" t="s">
        <v>54</v>
      </c>
      <c r="D28" s="22" t="str">
        <f>INDEX(Teams!$B$5:$E$37,MATCH(Results!C28,Teams!$B$5:$B$37,0),4)</f>
        <v>MPT</v>
      </c>
      <c r="E28" s="24">
        <v>10</v>
      </c>
      <c r="F28" s="25">
        <v>27</v>
      </c>
      <c r="G28" s="22" t="str">
        <f>INDEX(Teams!$B$5:$E$37,MATCH(Results!H28,Teams!$B$5:$B$37,0),4)</f>
        <v>RCU</v>
      </c>
      <c r="H28" s="39" t="s">
        <v>20</v>
      </c>
      <c r="I28" s="32" t="str">
        <f>INDEX(Teams!$B$5:$F$15,MATCH(Results!$C28,Teams!$B$5:$B$15,0),2)</f>
        <v>Milli Stadium</v>
      </c>
      <c r="J28" s="63" t="str">
        <f t="shared" si="0"/>
        <v>MPTRCU</v>
      </c>
      <c r="K28" s="40" t="str">
        <f t="shared" si="1"/>
        <v>RCU</v>
      </c>
      <c r="L28" s="40">
        <f t="shared" si="2"/>
        <v>1</v>
      </c>
      <c r="M28" s="40">
        <f t="shared" si="3"/>
        <v>17</v>
      </c>
      <c r="N28" s="40" t="str">
        <f t="shared" si="4"/>
        <v>Away</v>
      </c>
      <c r="O28" s="107" t="str">
        <f t="shared" si="5"/>
        <v>MPT6</v>
      </c>
      <c r="P28" s="109" t="str">
        <f t="shared" si="6"/>
        <v>RCU6</v>
      </c>
      <c r="Q28" s="109">
        <f>INDEX(RankPoints!$B$2:$L$14,Results!$B28+1,MATCH(Results!$D28,RankPoints!$B$2:$L$2,0))</f>
        <v>1447</v>
      </c>
      <c r="R28" s="109">
        <f>INDEX(RankPoints!$B$2:$L$14,Results!$B28+1,MATCH(Results!$G28,RankPoints!$B$2:$L$2,0))</f>
        <v>1551</v>
      </c>
      <c r="S28" s="111">
        <f t="shared" si="7"/>
        <v>0</v>
      </c>
      <c r="T28" s="109">
        <f t="shared" si="8"/>
        <v>1</v>
      </c>
      <c r="U28" s="112">
        <f>1/(1+(10^($W28/Teams!$F$3)))</f>
        <v>0.6453524504393825</v>
      </c>
      <c r="V28" s="113">
        <f>1/(1+(10^($X28/Teams!$F$3)))</f>
        <v>0.35464754956061756</v>
      </c>
      <c r="W28" s="111">
        <f t="shared" si="9"/>
        <v>-104</v>
      </c>
      <c r="X28" s="109">
        <f t="shared" si="10"/>
        <v>104</v>
      </c>
      <c r="Y28" s="109">
        <f>ROUND($Q28+(Teams!$F$2*($S28-$U28)),0)</f>
        <v>1426</v>
      </c>
      <c r="Z28" s="109">
        <f>ROUND($R28+(Teams!$F$2*($T28-$V28)),0)</f>
        <v>1572</v>
      </c>
    </row>
    <row r="29" spans="2:26" ht="12.75">
      <c r="B29" s="34">
        <v>6</v>
      </c>
      <c r="C29" s="35" t="s">
        <v>63</v>
      </c>
      <c r="D29" s="22" t="str">
        <f>INDEX(Teams!$B$5:$E$37,MATCH(Results!C29,Teams!$B$5:$B$37,0),4)</f>
        <v>UTC</v>
      </c>
      <c r="E29" s="24">
        <v>20</v>
      </c>
      <c r="F29" s="25">
        <v>13</v>
      </c>
      <c r="G29" s="22" t="str">
        <f>INDEX(Teams!$B$5:$E$37,MATCH(Results!H29,Teams!$B$5:$B$37,0),4)</f>
        <v>NRT</v>
      </c>
      <c r="H29" s="39" t="s">
        <v>55</v>
      </c>
      <c r="I29" s="32" t="str">
        <f>INDEX(Teams!$B$5:$F$15,MATCH(Results!$C29,Teams!$B$5:$B$15,0),2)</f>
        <v>The Pit</v>
      </c>
      <c r="J29" s="63" t="str">
        <f t="shared" si="0"/>
        <v>UTCNRT</v>
      </c>
      <c r="K29" s="40" t="str">
        <f t="shared" si="1"/>
        <v>UTC</v>
      </c>
      <c r="L29" s="40">
        <f t="shared" si="2"/>
        <v>1</v>
      </c>
      <c r="M29" s="40">
        <f t="shared" si="3"/>
        <v>7</v>
      </c>
      <c r="N29" s="40" t="str">
        <f t="shared" si="4"/>
        <v>Home</v>
      </c>
      <c r="O29" s="107" t="str">
        <f t="shared" si="5"/>
        <v>UTC6</v>
      </c>
      <c r="P29" s="109" t="str">
        <f t="shared" si="6"/>
        <v>NRT6</v>
      </c>
      <c r="Q29" s="109">
        <f>INDEX(RankPoints!$B$2:$L$14,Results!$B29+1,MATCH(Results!$D29,RankPoints!$B$2:$L$2,0))</f>
        <v>1554</v>
      </c>
      <c r="R29" s="109">
        <f>INDEX(RankPoints!$B$2:$L$14,Results!$B29+1,MATCH(Results!$G29,RankPoints!$B$2:$L$2,0))</f>
        <v>1411</v>
      </c>
      <c r="S29" s="111">
        <f t="shared" si="7"/>
        <v>1</v>
      </c>
      <c r="T29" s="109">
        <f t="shared" si="8"/>
        <v>0</v>
      </c>
      <c r="U29" s="112">
        <f>1/(1+(10^($W29/Teams!$F$3)))</f>
        <v>0.30509028727049736</v>
      </c>
      <c r="V29" s="113">
        <f>1/(1+(10^($X29/Teams!$F$3)))</f>
        <v>0.6949097127295025</v>
      </c>
      <c r="W29" s="111">
        <f t="shared" si="9"/>
        <v>143</v>
      </c>
      <c r="X29" s="109">
        <f t="shared" si="10"/>
        <v>-143</v>
      </c>
      <c r="Y29" s="109">
        <f>ROUND($Q29+(Teams!$F$2*($S29-$U29)),0)</f>
        <v>1576</v>
      </c>
      <c r="Z29" s="109">
        <f>ROUND($R29+(Teams!$F$2*($T29-$V29)),0)</f>
        <v>1389</v>
      </c>
    </row>
    <row r="30" spans="2:26" ht="12.75">
      <c r="B30" s="34">
        <v>6</v>
      </c>
      <c r="C30" s="35" t="s">
        <v>52</v>
      </c>
      <c r="D30" s="22" t="str">
        <f>INDEX(Teams!$B$5:$E$37,MATCH(Results!C30,Teams!$B$5:$B$37,0),4)</f>
        <v>SNP</v>
      </c>
      <c r="E30" s="24">
        <v>23</v>
      </c>
      <c r="F30" s="25">
        <v>20</v>
      </c>
      <c r="G30" s="22" t="str">
        <f>INDEX(Teams!$B$5:$E$37,MATCH(Results!H30,Teams!$B$5:$B$37,0),4)</f>
        <v>LUT</v>
      </c>
      <c r="H30" s="39" t="s">
        <v>56</v>
      </c>
      <c r="I30" s="32" t="str">
        <f>INDEX(Teams!$B$5:$F$15,MATCH(Results!$C30,Teams!$B$5:$B$15,0),2)</f>
        <v>Home Stadium</v>
      </c>
      <c r="J30" s="63" t="str">
        <f t="shared" si="0"/>
        <v>SNPLUT</v>
      </c>
      <c r="K30" s="40" t="str">
        <f t="shared" si="1"/>
        <v>SNP</v>
      </c>
      <c r="L30" s="40">
        <f t="shared" si="2"/>
        <v>1</v>
      </c>
      <c r="M30" s="40">
        <f t="shared" si="3"/>
        <v>3</v>
      </c>
      <c r="N30" s="40" t="str">
        <f t="shared" si="4"/>
        <v>Home</v>
      </c>
      <c r="O30" s="107" t="str">
        <f t="shared" si="5"/>
        <v>SNP6</v>
      </c>
      <c r="P30" s="109" t="str">
        <f t="shared" si="6"/>
        <v>LUT6</v>
      </c>
      <c r="Q30" s="109">
        <f>INDEX(RankPoints!$B$2:$L$14,Results!$B30+1,MATCH(Results!$D30,RankPoints!$B$2:$L$2,0))</f>
        <v>1445</v>
      </c>
      <c r="R30" s="109">
        <f>INDEX(RankPoints!$B$2:$L$14,Results!$B30+1,MATCH(Results!$G30,RankPoints!$B$2:$L$2,0))</f>
        <v>1445</v>
      </c>
      <c r="S30" s="111">
        <f t="shared" si="7"/>
        <v>1</v>
      </c>
      <c r="T30" s="109">
        <f t="shared" si="8"/>
        <v>0</v>
      </c>
      <c r="U30" s="112">
        <f>1/(1+(10^($W30/Teams!$F$3)))</f>
        <v>0.5</v>
      </c>
      <c r="V30" s="113">
        <f>1/(1+(10^($X30/Teams!$F$3)))</f>
        <v>0.5</v>
      </c>
      <c r="W30" s="111">
        <f t="shared" si="9"/>
        <v>0</v>
      </c>
      <c r="X30" s="109">
        <f t="shared" si="10"/>
        <v>0</v>
      </c>
      <c r="Y30" s="109">
        <f>ROUND($Q30+(Teams!$F$2*($S30-$U30)),0)</f>
        <v>1461</v>
      </c>
      <c r="Z30" s="109">
        <f>ROUND($R30+(Teams!$F$2*($T30-$V30)),0)</f>
        <v>1429</v>
      </c>
    </row>
    <row r="31" spans="2:26" ht="12.75">
      <c r="B31" s="34">
        <v>6</v>
      </c>
      <c r="C31" s="35" t="s">
        <v>53</v>
      </c>
      <c r="D31" s="22" t="str">
        <f>INDEX(Teams!$B$5:$E$37,MATCH(Results!C31,Teams!$B$5:$B$37,0),4)</f>
        <v>NOV</v>
      </c>
      <c r="E31" s="24">
        <v>13</v>
      </c>
      <c r="F31" s="25">
        <v>16</v>
      </c>
      <c r="G31" s="22" t="str">
        <f>INDEX(Teams!$B$5:$E$37,MATCH(Results!H31,Teams!$B$5:$B$37,0),4)</f>
        <v>ARK</v>
      </c>
      <c r="H31" s="39" t="s">
        <v>64</v>
      </c>
      <c r="I31" s="32" t="str">
        <f>INDEX(Teams!$B$5:$F$15,MATCH(Results!$C31,Teams!$B$5:$B$15,0),2)</f>
        <v>The Wolf's Den</v>
      </c>
      <c r="J31" s="63" t="str">
        <f t="shared" si="0"/>
        <v>NOVARK</v>
      </c>
      <c r="K31" s="40" t="str">
        <f t="shared" si="1"/>
        <v>ARK</v>
      </c>
      <c r="L31" s="40">
        <f t="shared" si="2"/>
        <v>1</v>
      </c>
      <c r="M31" s="40">
        <f t="shared" si="3"/>
        <v>3</v>
      </c>
      <c r="N31" s="40" t="str">
        <f t="shared" si="4"/>
        <v>Away</v>
      </c>
      <c r="O31" s="107" t="str">
        <f t="shared" si="5"/>
        <v>NOV6</v>
      </c>
      <c r="P31" s="109" t="str">
        <f t="shared" si="6"/>
        <v>ARK6</v>
      </c>
      <c r="Q31" s="109">
        <f>INDEX(RankPoints!$B$2:$L$14,Results!$B31+1,MATCH(Results!$D31,RankPoints!$B$2:$L$2,0))</f>
        <v>1449</v>
      </c>
      <c r="R31" s="109">
        <f>INDEX(RankPoints!$B$2:$L$14,Results!$B31+1,MATCH(Results!$G31,RankPoints!$B$2:$L$2,0))</f>
        <v>1585</v>
      </c>
      <c r="S31" s="111">
        <f t="shared" si="7"/>
        <v>0</v>
      </c>
      <c r="T31" s="109">
        <f t="shared" si="8"/>
        <v>1</v>
      </c>
      <c r="U31" s="112">
        <f>1/(1+(10^($W31/Teams!$F$3)))</f>
        <v>0.6863002576833125</v>
      </c>
      <c r="V31" s="113">
        <f>1/(1+(10^($X31/Teams!$F$3)))</f>
        <v>0.3136997423166875</v>
      </c>
      <c r="W31" s="111">
        <f t="shared" si="9"/>
        <v>-136</v>
      </c>
      <c r="X31" s="109">
        <f t="shared" si="10"/>
        <v>136</v>
      </c>
      <c r="Y31" s="109">
        <f>ROUND($Q31+(Teams!$F$2*($S31-$U31)),0)</f>
        <v>1427</v>
      </c>
      <c r="Z31" s="109">
        <f>ROUND($R31+(Teams!$F$2*($T31-$V31)),0)</f>
        <v>1607</v>
      </c>
    </row>
    <row r="32" spans="2:26" ht="12.75">
      <c r="B32" s="34">
        <v>6</v>
      </c>
      <c r="C32" s="35" t="s">
        <v>62</v>
      </c>
      <c r="D32" s="22" t="str">
        <f>INDEX(Teams!$B$5:$E$37,MATCH(Results!C32,Teams!$B$5:$B$37,0),4)</f>
        <v>HDS</v>
      </c>
      <c r="E32" s="24">
        <v>27</v>
      </c>
      <c r="F32" s="25">
        <v>26</v>
      </c>
      <c r="G32" s="22" t="str">
        <f>INDEX(Teams!$B$5:$E$37,MATCH(Results!H32,Teams!$B$5:$B$37,0),4)</f>
        <v>CLD</v>
      </c>
      <c r="H32" s="39" t="s">
        <v>19</v>
      </c>
      <c r="I32" s="32" t="str">
        <f>INDEX(Teams!$B$5:$F$15,MATCH(Results!$C32,Teams!$B$5:$B$15,0),2)</f>
        <v>James A. Hudson Memorial Field</v>
      </c>
      <c r="J32" s="63" t="str">
        <f t="shared" si="0"/>
        <v>HDSCLD</v>
      </c>
      <c r="K32" s="40" t="str">
        <f t="shared" si="1"/>
        <v>HDS</v>
      </c>
      <c r="L32" s="40">
        <f t="shared" si="2"/>
        <v>1</v>
      </c>
      <c r="M32" s="40">
        <f t="shared" si="3"/>
        <v>1</v>
      </c>
      <c r="N32" s="40" t="str">
        <f t="shared" si="4"/>
        <v>Home</v>
      </c>
      <c r="O32" s="107" t="str">
        <f t="shared" si="5"/>
        <v>HDS6</v>
      </c>
      <c r="P32" s="109" t="str">
        <f t="shared" si="6"/>
        <v>CLD6</v>
      </c>
      <c r="Q32" s="109">
        <f>INDEX(RankPoints!$B$2:$L$14,Results!$B32+1,MATCH(Results!$D32,RankPoints!$B$2:$L$2,0))</f>
        <v>1521</v>
      </c>
      <c r="R32" s="109">
        <f>INDEX(RankPoints!$B$2:$L$14,Results!$B32+1,MATCH(Results!$G32,RankPoints!$B$2:$L$2,0))</f>
        <v>1592</v>
      </c>
      <c r="S32" s="111">
        <f t="shared" si="7"/>
        <v>1</v>
      </c>
      <c r="T32" s="109">
        <f t="shared" si="8"/>
        <v>0</v>
      </c>
      <c r="U32" s="112">
        <f>1/(1+(10^($W32/Teams!$F$3)))</f>
        <v>0.6007782458900109</v>
      </c>
      <c r="V32" s="113">
        <f>1/(1+(10^($X32/Teams!$F$3)))</f>
        <v>0.399221754109989</v>
      </c>
      <c r="W32" s="111">
        <f t="shared" si="9"/>
        <v>-71</v>
      </c>
      <c r="X32" s="109">
        <f t="shared" si="10"/>
        <v>71</v>
      </c>
      <c r="Y32" s="109">
        <f>ROUND($Q32+(Teams!$F$2*($S32-$U32)),0)</f>
        <v>1534</v>
      </c>
      <c r="Z32" s="109">
        <f>ROUND($R32+(Teams!$F$2*($T32-$V32)),0)</f>
        <v>1579</v>
      </c>
    </row>
    <row r="33" spans="2:26" ht="12.75">
      <c r="B33" s="34">
        <v>7</v>
      </c>
      <c r="C33" s="35" t="s">
        <v>19</v>
      </c>
      <c r="D33" s="22" t="str">
        <f>INDEX(Teams!$B$5:$E$37,MATCH(Results!C33,Teams!$B$5:$B$37,0),4)</f>
        <v>CLD</v>
      </c>
      <c r="E33" s="24">
        <v>7</v>
      </c>
      <c r="F33" s="25">
        <v>24</v>
      </c>
      <c r="G33" s="22" t="str">
        <f>INDEX(Teams!$B$5:$E$37,MATCH(Results!H33,Teams!$B$5:$B$37,0),4)</f>
        <v>ARK</v>
      </c>
      <c r="H33" s="39" t="s">
        <v>64</v>
      </c>
      <c r="I33" s="32" t="str">
        <f>INDEX(Teams!$B$5:$F$15,MATCH(Results!$C33,Teams!$B$5:$B$15,0),2)</f>
        <v>Dorrel Stadium</v>
      </c>
      <c r="J33" s="63" t="str">
        <f t="shared" si="0"/>
        <v>CLDARK</v>
      </c>
      <c r="K33" s="40" t="str">
        <f t="shared" si="1"/>
        <v>ARK</v>
      </c>
      <c r="L33" s="40">
        <f t="shared" si="2"/>
        <v>1</v>
      </c>
      <c r="M33" s="40">
        <f t="shared" si="3"/>
        <v>17</v>
      </c>
      <c r="N33" s="40" t="str">
        <f t="shared" si="4"/>
        <v>Away</v>
      </c>
      <c r="O33" s="107" t="str">
        <f t="shared" si="5"/>
        <v>CLD7</v>
      </c>
      <c r="P33" s="109" t="str">
        <f t="shared" si="6"/>
        <v>ARK7</v>
      </c>
      <c r="Q33" s="109">
        <f>INDEX(RankPoints!$B$2:$L$14,Results!$B33+1,MATCH(Results!$D33,RankPoints!$B$2:$L$2,0))</f>
        <v>1579</v>
      </c>
      <c r="R33" s="109">
        <f>INDEX(RankPoints!$B$2:$L$14,Results!$B33+1,MATCH(Results!$G33,RankPoints!$B$2:$L$2,0))</f>
        <v>1607</v>
      </c>
      <c r="S33" s="111">
        <f t="shared" si="7"/>
        <v>0</v>
      </c>
      <c r="T33" s="109">
        <f t="shared" si="8"/>
        <v>1</v>
      </c>
      <c r="U33" s="112">
        <f>1/(1+(10^($W33/Teams!$F$3)))</f>
        <v>0.5402082283237456</v>
      </c>
      <c r="V33" s="113">
        <f>1/(1+(10^($X33/Teams!$F$3)))</f>
        <v>0.45979177167625435</v>
      </c>
      <c r="W33" s="111">
        <f t="shared" si="9"/>
        <v>-28</v>
      </c>
      <c r="X33" s="109">
        <f t="shared" si="10"/>
        <v>28</v>
      </c>
      <c r="Y33" s="109">
        <f>ROUND($Q33+(Teams!$F$2*($S33-$U33)),0)</f>
        <v>1562</v>
      </c>
      <c r="Z33" s="109">
        <f>ROUND($R33+(Teams!$F$2*($T33-$V33)),0)</f>
        <v>1624</v>
      </c>
    </row>
    <row r="34" spans="2:26" ht="12.75">
      <c r="B34" s="34">
        <v>7</v>
      </c>
      <c r="C34" s="35" t="s">
        <v>55</v>
      </c>
      <c r="D34" s="22" t="str">
        <f>INDEX(Teams!$B$5:$E$37,MATCH(Results!C34,Teams!$B$5:$B$37,0),4)</f>
        <v>NRT</v>
      </c>
      <c r="E34" s="24">
        <v>47</v>
      </c>
      <c r="F34" s="25">
        <v>10</v>
      </c>
      <c r="G34" s="22" t="str">
        <f>INDEX(Teams!$B$5:$E$37,MATCH(Results!H34,Teams!$B$5:$B$37,0),4)</f>
        <v>NOV</v>
      </c>
      <c r="H34" s="39" t="s">
        <v>53</v>
      </c>
      <c r="I34" s="32" t="str">
        <f>INDEX(Teams!$B$5:$F$15,MATCH(Results!$C34,Teams!$B$5:$B$15,0),2)</f>
        <v>Northumberland Park</v>
      </c>
      <c r="J34" s="63" t="str">
        <f t="shared" si="0"/>
        <v>NRTNOV</v>
      </c>
      <c r="K34" s="40" t="str">
        <f t="shared" si="1"/>
        <v>NRT</v>
      </c>
      <c r="L34" s="40">
        <f t="shared" si="2"/>
        <v>1</v>
      </c>
      <c r="M34" s="40">
        <f t="shared" si="3"/>
        <v>37</v>
      </c>
      <c r="N34" s="40" t="str">
        <f t="shared" si="4"/>
        <v>Home</v>
      </c>
      <c r="O34" s="107" t="str">
        <f t="shared" si="5"/>
        <v>NRT7</v>
      </c>
      <c r="P34" s="109" t="str">
        <f t="shared" si="6"/>
        <v>NOV7</v>
      </c>
      <c r="Q34" s="109">
        <f>INDEX(RankPoints!$B$2:$L$14,Results!$B34+1,MATCH(Results!$D34,RankPoints!$B$2:$L$2,0))</f>
        <v>1389</v>
      </c>
      <c r="R34" s="109">
        <f>INDEX(RankPoints!$B$2:$L$14,Results!$B34+1,MATCH(Results!$G34,RankPoints!$B$2:$L$2,0))</f>
        <v>1427</v>
      </c>
      <c r="S34" s="111">
        <f t="shared" si="7"/>
        <v>1</v>
      </c>
      <c r="T34" s="109">
        <f t="shared" si="8"/>
        <v>0</v>
      </c>
      <c r="U34" s="112">
        <f>1/(1+(10^($W34/Teams!$F$3)))</f>
        <v>0.5544693740216761</v>
      </c>
      <c r="V34" s="113">
        <f>1/(1+(10^($X34/Teams!$F$3)))</f>
        <v>0.44553062597832394</v>
      </c>
      <c r="W34" s="111">
        <f t="shared" si="9"/>
        <v>-38</v>
      </c>
      <c r="X34" s="109">
        <f t="shared" si="10"/>
        <v>38</v>
      </c>
      <c r="Y34" s="109">
        <f>ROUND($Q34+(Teams!$F$2*($S34-$U34)),0)</f>
        <v>1403</v>
      </c>
      <c r="Z34" s="109">
        <f>ROUND($R34+(Teams!$F$2*($T34-$V34)),0)</f>
        <v>1413</v>
      </c>
    </row>
    <row r="35" spans="2:26" ht="12.75">
      <c r="B35" s="34">
        <v>7</v>
      </c>
      <c r="C35" s="35" t="s">
        <v>63</v>
      </c>
      <c r="D35" s="22" t="str">
        <f>INDEX(Teams!$B$5:$E$37,MATCH(Results!C35,Teams!$B$5:$B$37,0),4)</f>
        <v>UTC</v>
      </c>
      <c r="E35" s="24">
        <v>34</v>
      </c>
      <c r="F35" s="25">
        <v>20</v>
      </c>
      <c r="G35" s="22" t="str">
        <f>INDEX(Teams!$B$5:$E$37,MATCH(Results!H35,Teams!$B$5:$B$37,0),4)</f>
        <v>RCU</v>
      </c>
      <c r="H35" s="39" t="s">
        <v>20</v>
      </c>
      <c r="I35" s="32" t="str">
        <f>INDEX(Teams!$B$5:$F$15,MATCH(Results!$C35,Teams!$B$5:$B$15,0),2)</f>
        <v>The Pit</v>
      </c>
      <c r="J35" s="63" t="str">
        <f t="shared" si="0"/>
        <v>UTCRCU</v>
      </c>
      <c r="K35" s="40" t="str">
        <f t="shared" si="1"/>
        <v>UTC</v>
      </c>
      <c r="L35" s="40">
        <f t="shared" si="2"/>
        <v>1</v>
      </c>
      <c r="M35" s="40">
        <f t="shared" si="3"/>
        <v>14</v>
      </c>
      <c r="N35" s="40" t="str">
        <f t="shared" si="4"/>
        <v>Home</v>
      </c>
      <c r="O35" s="107" t="str">
        <f t="shared" si="5"/>
        <v>UTC7</v>
      </c>
      <c r="P35" s="109" t="str">
        <f t="shared" si="6"/>
        <v>RCU7</v>
      </c>
      <c r="Q35" s="109">
        <f>INDEX(RankPoints!$B$2:$L$14,Results!$B35+1,MATCH(Results!$D35,RankPoints!$B$2:$L$2,0))</f>
        <v>1576</v>
      </c>
      <c r="R35" s="109">
        <f>INDEX(RankPoints!$B$2:$L$14,Results!$B35+1,MATCH(Results!$G35,RankPoints!$B$2:$L$2,0))</f>
        <v>1572</v>
      </c>
      <c r="S35" s="111">
        <f t="shared" si="7"/>
        <v>1</v>
      </c>
      <c r="T35" s="109">
        <f t="shared" si="8"/>
        <v>0</v>
      </c>
      <c r="U35" s="112">
        <f>1/(1+(10^($W35/Teams!$F$3)))</f>
        <v>0.49424379158885506</v>
      </c>
      <c r="V35" s="113">
        <f>1/(1+(10^($X35/Teams!$F$3)))</f>
        <v>0.5057562084111449</v>
      </c>
      <c r="W35" s="111">
        <f t="shared" si="9"/>
        <v>4</v>
      </c>
      <c r="X35" s="109">
        <f t="shared" si="10"/>
        <v>-4</v>
      </c>
      <c r="Y35" s="109">
        <f>ROUND($Q35+(Teams!$F$2*($S35-$U35)),0)</f>
        <v>1592</v>
      </c>
      <c r="Z35" s="109">
        <f>ROUND($R35+(Teams!$F$2*($T35-$V35)),0)</f>
        <v>1556</v>
      </c>
    </row>
    <row r="36" spans="2:26" ht="12.75">
      <c r="B36" s="34">
        <v>7</v>
      </c>
      <c r="C36" s="35" t="s">
        <v>62</v>
      </c>
      <c r="D36" s="22" t="str">
        <f>INDEX(Teams!$B$5:$E$37,MATCH(Results!C36,Teams!$B$5:$B$37,0),4)</f>
        <v>HDS</v>
      </c>
      <c r="E36" s="24">
        <v>23</v>
      </c>
      <c r="F36" s="25">
        <v>24</v>
      </c>
      <c r="G36" s="22" t="str">
        <f>INDEX(Teams!$B$5:$E$37,MATCH(Results!H36,Teams!$B$5:$B$37,0),4)</f>
        <v>LUT</v>
      </c>
      <c r="H36" s="39" t="s">
        <v>56</v>
      </c>
      <c r="I36" s="32" t="str">
        <f>INDEX(Teams!$B$5:$F$15,MATCH(Results!$C36,Teams!$B$5:$B$15,0),2)</f>
        <v>James A. Hudson Memorial Field</v>
      </c>
      <c r="J36" s="63" t="str">
        <f t="shared" si="0"/>
        <v>HDSLUT</v>
      </c>
      <c r="K36" s="40" t="str">
        <f t="shared" si="1"/>
        <v>LUT</v>
      </c>
      <c r="L36" s="40">
        <f t="shared" si="2"/>
        <v>1</v>
      </c>
      <c r="M36" s="40">
        <f t="shared" si="3"/>
        <v>1</v>
      </c>
      <c r="N36" s="40" t="str">
        <f t="shared" si="4"/>
        <v>Away</v>
      </c>
      <c r="O36" s="107" t="str">
        <f t="shared" si="5"/>
        <v>HDS7</v>
      </c>
      <c r="P36" s="109" t="str">
        <f t="shared" si="6"/>
        <v>LUT7</v>
      </c>
      <c r="Q36" s="109">
        <f>INDEX(RankPoints!$B$2:$L$14,Results!$B36+1,MATCH(Results!$D36,RankPoints!$B$2:$L$2,0))</f>
        <v>1534</v>
      </c>
      <c r="R36" s="109">
        <f>INDEX(RankPoints!$B$2:$L$14,Results!$B36+1,MATCH(Results!$G36,RankPoints!$B$2:$L$2,0))</f>
        <v>1429</v>
      </c>
      <c r="S36" s="111">
        <f t="shared" si="7"/>
        <v>0</v>
      </c>
      <c r="T36" s="109">
        <f t="shared" si="8"/>
        <v>1</v>
      </c>
      <c r="U36" s="112">
        <f>1/(1+(10^($W36/Teams!$F$3)))</f>
        <v>0.35333115767438533</v>
      </c>
      <c r="V36" s="113">
        <f>1/(1+(10^($X36/Teams!$F$3)))</f>
        <v>0.6466688423256146</v>
      </c>
      <c r="W36" s="111">
        <f t="shared" si="9"/>
        <v>105</v>
      </c>
      <c r="X36" s="109">
        <f t="shared" si="10"/>
        <v>-105</v>
      </c>
      <c r="Y36" s="109">
        <f>ROUND($Q36+(Teams!$F$2*($S36-$U36)),0)</f>
        <v>1523</v>
      </c>
      <c r="Z36" s="109">
        <f>ROUND($R36+(Teams!$F$2*($T36-$V36)),0)</f>
        <v>1440</v>
      </c>
    </row>
    <row r="37" spans="2:26" ht="12.75">
      <c r="B37" s="34">
        <v>7</v>
      </c>
      <c r="C37" s="35" t="s">
        <v>54</v>
      </c>
      <c r="D37" s="22" t="str">
        <f>INDEX(Teams!$B$5:$E$37,MATCH(Results!C37,Teams!$B$5:$B$37,0),4)</f>
        <v>MPT</v>
      </c>
      <c r="E37" s="24">
        <v>20</v>
      </c>
      <c r="F37" s="25">
        <v>13</v>
      </c>
      <c r="G37" s="22" t="str">
        <f>INDEX(Teams!$B$5:$E$37,MATCH(Results!H37,Teams!$B$5:$B$37,0),4)</f>
        <v>SNP</v>
      </c>
      <c r="H37" s="39" t="s">
        <v>52</v>
      </c>
      <c r="I37" s="32" t="str">
        <f>INDEX(Teams!$B$5:$F$15,MATCH(Results!$C37,Teams!$B$5:$B$15,0),2)</f>
        <v>Milli Stadium</v>
      </c>
      <c r="J37" s="63" t="str">
        <f t="shared" si="0"/>
        <v>MPTSNP</v>
      </c>
      <c r="K37" s="40" t="str">
        <f t="shared" si="1"/>
        <v>MPT</v>
      </c>
      <c r="L37" s="40">
        <f t="shared" si="2"/>
        <v>1</v>
      </c>
      <c r="M37" s="40">
        <f t="shared" si="3"/>
        <v>7</v>
      </c>
      <c r="N37" s="40" t="str">
        <f t="shared" si="4"/>
        <v>Home</v>
      </c>
      <c r="O37" s="107" t="str">
        <f t="shared" si="5"/>
        <v>MPT7</v>
      </c>
      <c r="P37" s="109" t="str">
        <f t="shared" si="6"/>
        <v>SNP7</v>
      </c>
      <c r="Q37" s="109">
        <f>INDEX(RankPoints!$B$2:$L$14,Results!$B37+1,MATCH(Results!$D37,RankPoints!$B$2:$L$2,0))</f>
        <v>1426</v>
      </c>
      <c r="R37" s="109">
        <f>INDEX(RankPoints!$B$2:$L$14,Results!$B37+1,MATCH(Results!$G37,RankPoints!$B$2:$L$2,0))</f>
        <v>1461</v>
      </c>
      <c r="S37" s="111">
        <f t="shared" si="7"/>
        <v>1</v>
      </c>
      <c r="T37" s="109">
        <f t="shared" si="8"/>
        <v>0</v>
      </c>
      <c r="U37" s="112">
        <f>1/(1+(10^($W37/Teams!$F$3)))</f>
        <v>0.550199353253537</v>
      </c>
      <c r="V37" s="113">
        <f>1/(1+(10^($X37/Teams!$F$3)))</f>
        <v>0.449800646746463</v>
      </c>
      <c r="W37" s="111">
        <f t="shared" si="9"/>
        <v>-35</v>
      </c>
      <c r="X37" s="109">
        <f t="shared" si="10"/>
        <v>35</v>
      </c>
      <c r="Y37" s="109">
        <f>ROUND($Q37+(Teams!$F$2*($S37-$U37)),0)</f>
        <v>1440</v>
      </c>
      <c r="Z37" s="109">
        <f>ROUND($R37+(Teams!$F$2*($T37-$V37)),0)</f>
        <v>1447</v>
      </c>
    </row>
    <row r="38" spans="2:26" ht="12.75">
      <c r="B38" s="34">
        <v>8</v>
      </c>
      <c r="C38" s="35" t="s">
        <v>53</v>
      </c>
      <c r="D38" s="22" t="str">
        <f>INDEX(Teams!$B$5:$E$37,MATCH(Results!C38,Teams!$B$5:$B$37,0),4)</f>
        <v>NOV</v>
      </c>
      <c r="E38" s="24">
        <v>19</v>
      </c>
      <c r="F38" s="25">
        <v>31</v>
      </c>
      <c r="G38" s="22" t="str">
        <f>INDEX(Teams!$B$5:$E$37,MATCH(Results!H38,Teams!$B$5:$B$37,0),4)</f>
        <v>LUT</v>
      </c>
      <c r="H38" s="39" t="s">
        <v>56</v>
      </c>
      <c r="I38" s="32" t="str">
        <f>INDEX(Teams!$B$5:$F$15,MATCH(Results!$C38,Teams!$B$5:$B$15,0),2)</f>
        <v>The Wolf's Den</v>
      </c>
      <c r="J38" s="63" t="str">
        <f t="shared" si="0"/>
        <v>NOVLUT</v>
      </c>
      <c r="K38" s="40" t="str">
        <f t="shared" si="1"/>
        <v>LUT</v>
      </c>
      <c r="L38" s="40">
        <f t="shared" si="2"/>
        <v>1</v>
      </c>
      <c r="M38" s="40">
        <f t="shared" si="3"/>
        <v>12</v>
      </c>
      <c r="N38" s="40" t="str">
        <f t="shared" si="4"/>
        <v>Away</v>
      </c>
      <c r="O38" s="107" t="str">
        <f t="shared" si="5"/>
        <v>NOV8</v>
      </c>
      <c r="P38" s="109" t="str">
        <f t="shared" si="6"/>
        <v>LUT8</v>
      </c>
      <c r="Q38" s="109">
        <f>INDEX(RankPoints!$B$2:$L$14,Results!$B38+1,MATCH(Results!$D38,RankPoints!$B$2:$L$2,0))</f>
        <v>1413</v>
      </c>
      <c r="R38" s="109">
        <f>INDEX(RankPoints!$B$2:$L$14,Results!$B38+1,MATCH(Results!$G38,RankPoints!$B$2:$L$2,0))</f>
        <v>1440</v>
      </c>
      <c r="S38" s="111">
        <f t="shared" si="7"/>
        <v>0</v>
      </c>
      <c r="T38" s="109">
        <f t="shared" si="8"/>
        <v>1</v>
      </c>
      <c r="U38" s="112">
        <f>1/(1+(10^($W38/Teams!$F$3)))</f>
        <v>0.5387780920571715</v>
      </c>
      <c r="V38" s="113">
        <f>1/(1+(10^($X38/Teams!$F$3)))</f>
        <v>0.46122190794282847</v>
      </c>
      <c r="W38" s="111">
        <f t="shared" si="9"/>
        <v>-27</v>
      </c>
      <c r="X38" s="109">
        <f t="shared" si="10"/>
        <v>27</v>
      </c>
      <c r="Y38" s="109">
        <f>ROUND($Q38+(Teams!$F$2*($S38-$U38)),0)</f>
        <v>1396</v>
      </c>
      <c r="Z38" s="109">
        <f>ROUND($R38+(Teams!$F$2*($T38-$V38)),0)</f>
        <v>1457</v>
      </c>
    </row>
    <row r="39" spans="2:26" ht="12.75">
      <c r="B39" s="34">
        <v>8</v>
      </c>
      <c r="C39" s="35" t="s">
        <v>55</v>
      </c>
      <c r="D39" s="22" t="str">
        <f>INDEX(Teams!$B$5:$E$37,MATCH(Results!C39,Teams!$B$5:$B$37,0),4)</f>
        <v>NRT</v>
      </c>
      <c r="E39" s="24">
        <v>23</v>
      </c>
      <c r="F39" s="25">
        <v>12</v>
      </c>
      <c r="G39" s="22" t="str">
        <f>INDEX(Teams!$B$5:$E$37,MATCH(Results!H39,Teams!$B$5:$B$37,0),4)</f>
        <v>MPT</v>
      </c>
      <c r="H39" s="39" t="s">
        <v>54</v>
      </c>
      <c r="I39" s="32" t="str">
        <f>INDEX(Teams!$B$5:$F$15,MATCH(Results!$C39,Teams!$B$5:$B$15,0),2)</f>
        <v>Northumberland Park</v>
      </c>
      <c r="J39" s="63" t="str">
        <f t="shared" si="0"/>
        <v>NRTMPT</v>
      </c>
      <c r="K39" s="40" t="str">
        <f t="shared" si="1"/>
        <v>NRT</v>
      </c>
      <c r="L39" s="40">
        <f t="shared" si="2"/>
        <v>1</v>
      </c>
      <c r="M39" s="40">
        <f t="shared" si="3"/>
        <v>11</v>
      </c>
      <c r="N39" s="40" t="str">
        <f t="shared" si="4"/>
        <v>Home</v>
      </c>
      <c r="O39" s="107" t="str">
        <f t="shared" si="5"/>
        <v>NRT8</v>
      </c>
      <c r="P39" s="109" t="str">
        <f t="shared" si="6"/>
        <v>MPT8</v>
      </c>
      <c r="Q39" s="109">
        <f>INDEX(RankPoints!$B$2:$L$14,Results!$B39+1,MATCH(Results!$D39,RankPoints!$B$2:$L$2,0))</f>
        <v>1403</v>
      </c>
      <c r="R39" s="109">
        <f>INDEX(RankPoints!$B$2:$L$14,Results!$B39+1,MATCH(Results!$G39,RankPoints!$B$2:$L$2,0))</f>
        <v>1440</v>
      </c>
      <c r="S39" s="111">
        <f t="shared" si="7"/>
        <v>1</v>
      </c>
      <c r="T39" s="109">
        <f t="shared" si="8"/>
        <v>0</v>
      </c>
      <c r="U39" s="112">
        <f>1/(1+(10^($W39/Teams!$F$3)))</f>
        <v>0.5530468951694625</v>
      </c>
      <c r="V39" s="113">
        <f>1/(1+(10^($X39/Teams!$F$3)))</f>
        <v>0.4469531048305375</v>
      </c>
      <c r="W39" s="111">
        <f t="shared" si="9"/>
        <v>-37</v>
      </c>
      <c r="X39" s="109">
        <f t="shared" si="10"/>
        <v>37</v>
      </c>
      <c r="Y39" s="109">
        <f>ROUND($Q39+(Teams!$F$2*($S39-$U39)),0)</f>
        <v>1417</v>
      </c>
      <c r="Z39" s="109">
        <f>ROUND($R39+(Teams!$F$2*($T39-$V39)),0)</f>
        <v>1426</v>
      </c>
    </row>
    <row r="40" spans="2:26" ht="12.75">
      <c r="B40" s="34">
        <v>8</v>
      </c>
      <c r="C40" s="35" t="s">
        <v>20</v>
      </c>
      <c r="D40" s="22" t="str">
        <f>INDEX(Teams!$B$5:$E$37,MATCH(Results!C40,Teams!$B$5:$B$37,0),4)</f>
        <v>RCU</v>
      </c>
      <c r="E40" s="24">
        <v>51</v>
      </c>
      <c r="F40" s="25">
        <v>29</v>
      </c>
      <c r="G40" s="22" t="str">
        <f>INDEX(Teams!$B$5:$E$37,MATCH(Results!H40,Teams!$B$5:$B$37,0),4)</f>
        <v>SNP</v>
      </c>
      <c r="H40" s="39" t="s">
        <v>52</v>
      </c>
      <c r="I40" s="32" t="str">
        <f>INDEX(Teams!$B$5:$F$15,MATCH(Results!$C40,Teams!$B$5:$B$15,0),2)</f>
        <v>Capital Coliseum</v>
      </c>
      <c r="J40" s="63" t="str">
        <f t="shared" si="0"/>
        <v>RCUSNP</v>
      </c>
      <c r="K40" s="40" t="str">
        <f t="shared" si="1"/>
        <v>RCU</v>
      </c>
      <c r="L40" s="40">
        <f t="shared" si="2"/>
        <v>1</v>
      </c>
      <c r="M40" s="40">
        <f t="shared" si="3"/>
        <v>22</v>
      </c>
      <c r="N40" s="40" t="str">
        <f t="shared" si="4"/>
        <v>Home</v>
      </c>
      <c r="O40" s="107" t="str">
        <f t="shared" si="5"/>
        <v>RCU8</v>
      </c>
      <c r="P40" s="109" t="str">
        <f t="shared" si="6"/>
        <v>SNP8</v>
      </c>
      <c r="Q40" s="109">
        <f>INDEX(RankPoints!$B$2:$L$14,Results!$B40+1,MATCH(Results!$D40,RankPoints!$B$2:$L$2,0))</f>
        <v>1556</v>
      </c>
      <c r="R40" s="109">
        <f>INDEX(RankPoints!$B$2:$L$14,Results!$B40+1,MATCH(Results!$G40,RankPoints!$B$2:$L$2,0))</f>
        <v>1447</v>
      </c>
      <c r="S40" s="111">
        <f t="shared" si="7"/>
        <v>1</v>
      </c>
      <c r="T40" s="109">
        <f t="shared" si="8"/>
        <v>0</v>
      </c>
      <c r="U40" s="112">
        <f>1/(1+(10^($W40/Teams!$F$3)))</f>
        <v>0.34808796012533627</v>
      </c>
      <c r="V40" s="113">
        <f>1/(1+(10^($X40/Teams!$F$3)))</f>
        <v>0.6519120398746636</v>
      </c>
      <c r="W40" s="111">
        <f t="shared" si="9"/>
        <v>109</v>
      </c>
      <c r="X40" s="109">
        <f t="shared" si="10"/>
        <v>-109</v>
      </c>
      <c r="Y40" s="109">
        <f>ROUND($Q40+(Teams!$F$2*($S40-$U40)),0)</f>
        <v>1577</v>
      </c>
      <c r="Z40" s="109">
        <f>ROUND($R40+(Teams!$F$2*($T40-$V40)),0)</f>
        <v>1426</v>
      </c>
    </row>
    <row r="41" spans="2:26" ht="12.75">
      <c r="B41" s="34">
        <v>8</v>
      </c>
      <c r="C41" s="35" t="s">
        <v>64</v>
      </c>
      <c r="D41" s="22" t="str">
        <f>INDEX(Teams!$B$5:$E$37,MATCH(Results!C41,Teams!$B$5:$B$37,0),4)</f>
        <v>ARK</v>
      </c>
      <c r="E41" s="24">
        <v>9</v>
      </c>
      <c r="F41" s="25">
        <v>6</v>
      </c>
      <c r="G41" s="22" t="str">
        <f>INDEX(Teams!$B$5:$E$37,MATCH(Results!H41,Teams!$B$5:$B$37,0),4)</f>
        <v>HDS</v>
      </c>
      <c r="H41" s="39" t="s">
        <v>62</v>
      </c>
      <c r="I41" s="32" t="str">
        <f>INDEX(Teams!$B$5:$F$15,MATCH(Results!$C41,Teams!$B$5:$B$15,0),2)</f>
        <v>Walker Field</v>
      </c>
      <c r="J41" s="63" t="str">
        <f t="shared" si="0"/>
        <v>ARKHDS</v>
      </c>
      <c r="K41" s="40" t="str">
        <f t="shared" si="1"/>
        <v>ARK</v>
      </c>
      <c r="L41" s="40">
        <f t="shared" si="2"/>
        <v>1</v>
      </c>
      <c r="M41" s="40">
        <f t="shared" si="3"/>
        <v>3</v>
      </c>
      <c r="N41" s="40" t="str">
        <f t="shared" si="4"/>
        <v>Home</v>
      </c>
      <c r="O41" s="107" t="str">
        <f t="shared" si="5"/>
        <v>ARK8</v>
      </c>
      <c r="P41" s="109" t="str">
        <f t="shared" si="6"/>
        <v>HDS8</v>
      </c>
      <c r="Q41" s="109">
        <f>INDEX(RankPoints!$B$2:$L$14,Results!$B41+1,MATCH(Results!$D41,RankPoints!$B$2:$L$2,0))</f>
        <v>1624</v>
      </c>
      <c r="R41" s="109">
        <f>INDEX(RankPoints!$B$2:$L$14,Results!$B41+1,MATCH(Results!$G41,RankPoints!$B$2:$L$2,0))</f>
        <v>1523</v>
      </c>
      <c r="S41" s="111">
        <f t="shared" si="7"/>
        <v>1</v>
      </c>
      <c r="T41" s="109">
        <f t="shared" si="8"/>
        <v>0</v>
      </c>
      <c r="U41" s="112">
        <f>1/(1+(10^($W41/Teams!$F$3)))</f>
        <v>0.35860988804438204</v>
      </c>
      <c r="V41" s="113">
        <f>1/(1+(10^($X41/Teams!$F$3)))</f>
        <v>0.641390111955618</v>
      </c>
      <c r="W41" s="111">
        <f t="shared" si="9"/>
        <v>101</v>
      </c>
      <c r="X41" s="109">
        <f t="shared" si="10"/>
        <v>-101</v>
      </c>
      <c r="Y41" s="109">
        <f>ROUND($Q41+(Teams!$F$2*($S41-$U41)),0)</f>
        <v>1645</v>
      </c>
      <c r="Z41" s="109">
        <f>ROUND($R41+(Teams!$F$2*($T41-$V41)),0)</f>
        <v>1502</v>
      </c>
    </row>
    <row r="42" spans="2:26" ht="12.75">
      <c r="B42" s="34">
        <v>8</v>
      </c>
      <c r="C42" s="35" t="s">
        <v>63</v>
      </c>
      <c r="D42" s="22" t="str">
        <f>INDEX(Teams!$B$5:$E$37,MATCH(Results!C42,Teams!$B$5:$B$37,0),4)</f>
        <v>UTC</v>
      </c>
      <c r="E42" s="24">
        <v>23</v>
      </c>
      <c r="F42" s="25">
        <v>14</v>
      </c>
      <c r="G42" s="22" t="str">
        <f>INDEX(Teams!$B$5:$E$37,MATCH(Results!H42,Teams!$B$5:$B$37,0),4)</f>
        <v>CLD</v>
      </c>
      <c r="H42" s="39" t="s">
        <v>19</v>
      </c>
      <c r="I42" s="32" t="str">
        <f>INDEX(Teams!$B$5:$F$15,MATCH(Results!$C42,Teams!$B$5:$B$15,0),2)</f>
        <v>The Pit</v>
      </c>
      <c r="J42" s="63" t="str">
        <f t="shared" si="0"/>
        <v>UTCCLD</v>
      </c>
      <c r="K42" s="40" t="str">
        <f t="shared" si="1"/>
        <v>UTC</v>
      </c>
      <c r="L42" s="40">
        <f t="shared" si="2"/>
        <v>1</v>
      </c>
      <c r="M42" s="40">
        <f t="shared" si="3"/>
        <v>9</v>
      </c>
      <c r="N42" s="40" t="str">
        <f t="shared" si="4"/>
        <v>Home</v>
      </c>
      <c r="O42" s="107" t="str">
        <f t="shared" si="5"/>
        <v>UTC8</v>
      </c>
      <c r="P42" s="109" t="str">
        <f t="shared" si="6"/>
        <v>CLD8</v>
      </c>
      <c r="Q42" s="109">
        <f>INDEX(RankPoints!$B$2:$L$14,Results!$B42+1,MATCH(Results!$D42,RankPoints!$B$2:$L$2,0))</f>
        <v>1592</v>
      </c>
      <c r="R42" s="109">
        <f>INDEX(RankPoints!$B$2:$L$14,Results!$B42+1,MATCH(Results!$G42,RankPoints!$B$2:$L$2,0))</f>
        <v>1562</v>
      </c>
      <c r="S42" s="111">
        <f t="shared" si="7"/>
        <v>1</v>
      </c>
      <c r="T42" s="109">
        <f t="shared" si="8"/>
        <v>0</v>
      </c>
      <c r="U42" s="112">
        <f>1/(1+(10^($W42/Teams!$F$3)))</f>
        <v>0.4569335079777882</v>
      </c>
      <c r="V42" s="113">
        <f>1/(1+(10^($X42/Teams!$F$3)))</f>
        <v>0.5430664920222119</v>
      </c>
      <c r="W42" s="111">
        <f t="shared" si="9"/>
        <v>30</v>
      </c>
      <c r="X42" s="109">
        <f t="shared" si="10"/>
        <v>-30</v>
      </c>
      <c r="Y42" s="109">
        <f>ROUND($Q42+(Teams!$F$2*($S42-$U42)),0)</f>
        <v>1609</v>
      </c>
      <c r="Z42" s="109">
        <f>ROUND($R42+(Teams!$F$2*($T42-$V42)),0)</f>
        <v>1545</v>
      </c>
    </row>
    <row r="43" spans="2:26" ht="12.75">
      <c r="B43" s="34">
        <v>9</v>
      </c>
      <c r="C43" s="35" t="s">
        <v>56</v>
      </c>
      <c r="D43" s="22" t="str">
        <f>INDEX(Teams!$B$5:$E$37,MATCH(Results!C43,Teams!$B$5:$B$37,0),4)</f>
        <v>LUT</v>
      </c>
      <c r="E43" s="24">
        <v>21</v>
      </c>
      <c r="F43" s="25">
        <v>7</v>
      </c>
      <c r="G43" s="22" t="str">
        <f>INDEX(Teams!$B$5:$E$37,MATCH(Results!H43,Teams!$B$5:$B$37,0),4)</f>
        <v>NRT</v>
      </c>
      <c r="H43" s="39" t="s">
        <v>55</v>
      </c>
      <c r="I43" s="32" t="str">
        <f>INDEX(Teams!$B$5:$F$15,MATCH(Results!$C43,Teams!$B$5:$B$15,0),2)</f>
        <v>Luther Field</v>
      </c>
      <c r="J43" s="63" t="str">
        <f t="shared" si="0"/>
        <v>LUTNRT</v>
      </c>
      <c r="K43" s="40" t="str">
        <f t="shared" si="1"/>
        <v>LUT</v>
      </c>
      <c r="L43" s="40">
        <f t="shared" si="2"/>
        <v>1</v>
      </c>
      <c r="M43" s="40">
        <f t="shared" si="3"/>
        <v>14</v>
      </c>
      <c r="N43" s="40" t="str">
        <f t="shared" si="4"/>
        <v>Home</v>
      </c>
      <c r="O43" s="107" t="str">
        <f t="shared" si="5"/>
        <v>LUT9</v>
      </c>
      <c r="P43" s="109" t="str">
        <f t="shared" si="6"/>
        <v>NRT9</v>
      </c>
      <c r="Q43" s="109">
        <f>INDEX(RankPoints!$B$2:$L$14,Results!$B43+1,MATCH(Results!$D43,RankPoints!$B$2:$L$2,0))</f>
        <v>1457</v>
      </c>
      <c r="R43" s="109">
        <f>INDEX(RankPoints!$B$2:$L$14,Results!$B43+1,MATCH(Results!$G43,RankPoints!$B$2:$L$2,0))</f>
        <v>1417</v>
      </c>
      <c r="S43" s="111">
        <f t="shared" si="7"/>
        <v>1</v>
      </c>
      <c r="T43" s="109">
        <f t="shared" si="8"/>
        <v>0</v>
      </c>
      <c r="U43" s="112">
        <f>1/(1+(10^($W43/Teams!$F$3)))</f>
        <v>0.44268836623770724</v>
      </c>
      <c r="V43" s="113">
        <f>1/(1+(10^($X43/Teams!$F$3)))</f>
        <v>0.5573116337622928</v>
      </c>
      <c r="W43" s="111">
        <f t="shared" si="9"/>
        <v>40</v>
      </c>
      <c r="X43" s="109">
        <f t="shared" si="10"/>
        <v>-40</v>
      </c>
      <c r="Y43" s="109">
        <f>ROUND($Q43+(Teams!$F$2*($S43-$U43)),0)</f>
        <v>1475</v>
      </c>
      <c r="Z43" s="109">
        <f>ROUND($R43+(Teams!$F$2*($T43-$V43)),0)</f>
        <v>1399</v>
      </c>
    </row>
    <row r="44" spans="2:26" ht="12.75">
      <c r="B44" s="34">
        <v>9</v>
      </c>
      <c r="C44" s="35" t="s">
        <v>52</v>
      </c>
      <c r="D44" s="22" t="str">
        <f>INDEX(Teams!$B$5:$E$37,MATCH(Results!C44,Teams!$B$5:$B$37,0),4)</f>
        <v>SNP</v>
      </c>
      <c r="E44" s="24">
        <v>13</v>
      </c>
      <c r="F44" s="25">
        <v>16</v>
      </c>
      <c r="G44" s="22" t="str">
        <f>INDEX(Teams!$B$5:$E$37,MATCH(Results!H44,Teams!$B$5:$B$37,0),4)</f>
        <v>HDS</v>
      </c>
      <c r="H44" s="39" t="s">
        <v>62</v>
      </c>
      <c r="I44" s="32" t="str">
        <f>INDEX(Teams!$B$5:$F$15,MATCH(Results!$C44,Teams!$B$5:$B$15,0),2)</f>
        <v>Home Stadium</v>
      </c>
      <c r="J44" s="63" t="str">
        <f t="shared" si="0"/>
        <v>SNPHDS</v>
      </c>
      <c r="K44" s="40" t="str">
        <f t="shared" si="1"/>
        <v>HDS</v>
      </c>
      <c r="L44" s="40">
        <f t="shared" si="2"/>
        <v>1</v>
      </c>
      <c r="M44" s="40">
        <f t="shared" si="3"/>
        <v>3</v>
      </c>
      <c r="N44" s="40" t="str">
        <f t="shared" si="4"/>
        <v>Away</v>
      </c>
      <c r="O44" s="107" t="str">
        <f t="shared" si="5"/>
        <v>SNP9</v>
      </c>
      <c r="P44" s="109" t="str">
        <f t="shared" si="6"/>
        <v>HDS9</v>
      </c>
      <c r="Q44" s="109">
        <f>INDEX(RankPoints!$B$2:$L$14,Results!$B44+1,MATCH(Results!$D44,RankPoints!$B$2:$L$2,0))</f>
        <v>1426</v>
      </c>
      <c r="R44" s="109">
        <f>INDEX(RankPoints!$B$2:$L$14,Results!$B44+1,MATCH(Results!$G44,RankPoints!$B$2:$L$2,0))</f>
        <v>1502</v>
      </c>
      <c r="S44" s="111">
        <f t="shared" si="7"/>
        <v>0</v>
      </c>
      <c r="T44" s="109">
        <f t="shared" si="8"/>
        <v>1</v>
      </c>
      <c r="U44" s="112">
        <f>1/(1+(10^($W44/Teams!$F$3)))</f>
        <v>0.6076610641268199</v>
      </c>
      <c r="V44" s="113">
        <f>1/(1+(10^($X44/Teams!$F$3)))</f>
        <v>0.39233893587318014</v>
      </c>
      <c r="W44" s="111">
        <f t="shared" si="9"/>
        <v>-76</v>
      </c>
      <c r="X44" s="109">
        <f t="shared" si="10"/>
        <v>76</v>
      </c>
      <c r="Y44" s="109">
        <f>ROUND($Q44+(Teams!$F$2*($S44-$U44)),0)</f>
        <v>1407</v>
      </c>
      <c r="Z44" s="109">
        <f>ROUND($R44+(Teams!$F$2*($T44-$V44)),0)</f>
        <v>1521</v>
      </c>
    </row>
    <row r="45" spans="2:26" ht="12.75">
      <c r="B45" s="34">
        <v>9</v>
      </c>
      <c r="C45" s="35" t="s">
        <v>64</v>
      </c>
      <c r="D45" s="22" t="str">
        <f>INDEX(Teams!$B$5:$E$37,MATCH(Results!C45,Teams!$B$5:$B$37,0),4)</f>
        <v>ARK</v>
      </c>
      <c r="E45" s="24">
        <v>45</v>
      </c>
      <c r="F45" s="25">
        <v>7</v>
      </c>
      <c r="G45" s="22" t="str">
        <f>INDEX(Teams!$B$5:$E$37,MATCH(Results!H45,Teams!$B$5:$B$37,0),4)</f>
        <v>MPT</v>
      </c>
      <c r="H45" s="39" t="s">
        <v>54</v>
      </c>
      <c r="I45" s="32" t="str">
        <f>INDEX(Teams!$B$5:$F$15,MATCH(Results!$C45,Teams!$B$5:$B$15,0),2)</f>
        <v>Walker Field</v>
      </c>
      <c r="J45" s="63" t="str">
        <f t="shared" si="0"/>
        <v>ARKMPT</v>
      </c>
      <c r="K45" s="40" t="str">
        <f t="shared" si="1"/>
        <v>ARK</v>
      </c>
      <c r="L45" s="40">
        <f t="shared" si="2"/>
        <v>1</v>
      </c>
      <c r="M45" s="40">
        <f t="shared" si="3"/>
        <v>38</v>
      </c>
      <c r="N45" s="40" t="str">
        <f t="shared" si="4"/>
        <v>Home</v>
      </c>
      <c r="O45" s="107" t="str">
        <f t="shared" si="5"/>
        <v>ARK9</v>
      </c>
      <c r="P45" s="109" t="str">
        <f t="shared" si="6"/>
        <v>MPT9</v>
      </c>
      <c r="Q45" s="109">
        <f>INDEX(RankPoints!$B$2:$L$14,Results!$B45+1,MATCH(Results!$D45,RankPoints!$B$2:$L$2,0))</f>
        <v>1645</v>
      </c>
      <c r="R45" s="109">
        <f>INDEX(RankPoints!$B$2:$L$14,Results!$B45+1,MATCH(Results!$G45,RankPoints!$B$2:$L$2,0))</f>
        <v>1426</v>
      </c>
      <c r="S45" s="111">
        <f t="shared" si="7"/>
        <v>1</v>
      </c>
      <c r="T45" s="109">
        <f t="shared" si="8"/>
        <v>0</v>
      </c>
      <c r="U45" s="112">
        <f>1/(1+(10^($W45/Teams!$F$3)))</f>
        <v>0.22085937918053045</v>
      </c>
      <c r="V45" s="113">
        <f>1/(1+(10^($X45/Teams!$F$3)))</f>
        <v>0.7791406208194696</v>
      </c>
      <c r="W45" s="111">
        <f t="shared" si="9"/>
        <v>219</v>
      </c>
      <c r="X45" s="109">
        <f t="shared" si="10"/>
        <v>-219</v>
      </c>
      <c r="Y45" s="109">
        <f>ROUND($Q45+(Teams!$F$2*($S45-$U45)),0)</f>
        <v>1670</v>
      </c>
      <c r="Z45" s="109">
        <f>ROUND($R45+(Teams!$F$2*($T45-$V45)),0)</f>
        <v>1401</v>
      </c>
    </row>
    <row r="46" spans="2:26" ht="12.75">
      <c r="B46" s="34">
        <v>9</v>
      </c>
      <c r="C46" s="35" t="s">
        <v>63</v>
      </c>
      <c r="D46" s="22" t="str">
        <f>INDEX(Teams!$B$5:$E$37,MATCH(Results!C46,Teams!$B$5:$B$37,0),4)</f>
        <v>UTC</v>
      </c>
      <c r="E46" s="24">
        <v>39</v>
      </c>
      <c r="F46" s="25">
        <v>20</v>
      </c>
      <c r="G46" s="22" t="str">
        <f>INDEX(Teams!$B$5:$E$37,MATCH(Results!H46,Teams!$B$5:$B$37,0),4)</f>
        <v>NOV</v>
      </c>
      <c r="H46" s="39" t="s">
        <v>53</v>
      </c>
      <c r="I46" s="32" t="str">
        <f>INDEX(Teams!$B$5:$F$15,MATCH(Results!$C46,Teams!$B$5:$B$15,0),2)</f>
        <v>The Pit</v>
      </c>
      <c r="J46" s="63" t="str">
        <f t="shared" si="0"/>
        <v>UTCNOV</v>
      </c>
      <c r="K46" s="40" t="str">
        <f t="shared" si="1"/>
        <v>UTC</v>
      </c>
      <c r="L46" s="40">
        <f t="shared" si="2"/>
        <v>1</v>
      </c>
      <c r="M46" s="40">
        <f t="shared" si="3"/>
        <v>19</v>
      </c>
      <c r="N46" s="40" t="str">
        <f t="shared" si="4"/>
        <v>Home</v>
      </c>
      <c r="O46" s="107" t="str">
        <f t="shared" si="5"/>
        <v>UTC9</v>
      </c>
      <c r="P46" s="109" t="str">
        <f t="shared" si="6"/>
        <v>NOV9</v>
      </c>
      <c r="Q46" s="109">
        <f>INDEX(RankPoints!$B$2:$L$14,Results!$B46+1,MATCH(Results!$D46,RankPoints!$B$2:$L$2,0))</f>
        <v>1609</v>
      </c>
      <c r="R46" s="109">
        <f>INDEX(RankPoints!$B$2:$L$14,Results!$B46+1,MATCH(Results!$G46,RankPoints!$B$2:$L$2,0))</f>
        <v>1396</v>
      </c>
      <c r="S46" s="111">
        <f t="shared" si="7"/>
        <v>1</v>
      </c>
      <c r="T46" s="109">
        <f t="shared" si="8"/>
        <v>0</v>
      </c>
      <c r="U46" s="112">
        <f>1/(1+(10^($W46/Teams!$F$3)))</f>
        <v>0.22686008692323265</v>
      </c>
      <c r="V46" s="113">
        <f>1/(1+(10^($X46/Teams!$F$3)))</f>
        <v>0.7731399130767673</v>
      </c>
      <c r="W46" s="111">
        <f t="shared" si="9"/>
        <v>213</v>
      </c>
      <c r="X46" s="109">
        <f t="shared" si="10"/>
        <v>-213</v>
      </c>
      <c r="Y46" s="109">
        <f>ROUND($Q46+(Teams!$F$2*($S46-$U46)),0)</f>
        <v>1634</v>
      </c>
      <c r="Z46" s="109">
        <f>ROUND($R46+(Teams!$F$2*($T46-$V46)),0)</f>
        <v>1371</v>
      </c>
    </row>
    <row r="47" spans="2:26" ht="13.5" thickBot="1">
      <c r="B47" s="118">
        <v>9</v>
      </c>
      <c r="C47" s="119" t="s">
        <v>20</v>
      </c>
      <c r="D47" s="111" t="str">
        <f>INDEX(Teams!$B$5:$E$37,MATCH(Results!C47,Teams!$B$5:$B$37,0),4)</f>
        <v>RCU</v>
      </c>
      <c r="E47" s="120">
        <v>3</v>
      </c>
      <c r="F47" s="121">
        <v>17</v>
      </c>
      <c r="G47" s="111" t="str">
        <f>INDEX(Teams!$B$5:$E$37,MATCH(Results!H47,Teams!$B$5:$B$37,0),4)</f>
        <v>CLD</v>
      </c>
      <c r="H47" s="122" t="s">
        <v>19</v>
      </c>
      <c r="I47" s="40" t="str">
        <f>INDEX(Teams!$B$5:$F$15,MATCH(Results!$C47,Teams!$B$5:$B$15,0),2)</f>
        <v>Capital Coliseum</v>
      </c>
      <c r="J47" s="63" t="str">
        <f>D47&amp;G47</f>
        <v>RCUCLD</v>
      </c>
      <c r="K47" s="40" t="str">
        <f>IF(L47=0,"",IF(E47&gt;F47,D47,G47))</f>
        <v>CLD</v>
      </c>
      <c r="L47" s="40">
        <f>IF(OR(E47="",F47=""),0,1)</f>
        <v>1</v>
      </c>
      <c r="M47" s="40">
        <f>ABS(E47-F47)</f>
        <v>14</v>
      </c>
      <c r="N47" s="40" t="str">
        <f>IF(K47="","",IF(K47=D47,"Home","Away"))</f>
        <v>Away</v>
      </c>
      <c r="O47" s="107" t="str">
        <f t="shared" si="5"/>
        <v>RCU9</v>
      </c>
      <c r="P47" s="109" t="str">
        <f t="shared" si="6"/>
        <v>CLD9</v>
      </c>
      <c r="Q47" s="109">
        <f>INDEX(RankPoints!$B$2:$L$14,Results!$B47+1,MATCH(Results!$D47,RankPoints!$B$2:$L$2,0))</f>
        <v>1577</v>
      </c>
      <c r="R47" s="109">
        <f>INDEX(RankPoints!$B$2:$L$14,Results!$B47+1,MATCH(Results!$G47,RankPoints!$B$2:$L$2,0))</f>
        <v>1545</v>
      </c>
      <c r="S47" s="111">
        <f t="shared" si="7"/>
        <v>0</v>
      </c>
      <c r="T47" s="109">
        <f t="shared" si="8"/>
        <v>1</v>
      </c>
      <c r="U47" s="112">
        <f>1/(1+(10^($W47/Teams!$F$3)))</f>
        <v>0.4540780772195163</v>
      </c>
      <c r="V47" s="113">
        <f>1/(1+(10^($X47/Teams!$F$3)))</f>
        <v>0.5459219227804837</v>
      </c>
      <c r="W47" s="111">
        <f t="shared" si="9"/>
        <v>32</v>
      </c>
      <c r="X47" s="109">
        <f t="shared" si="10"/>
        <v>-32</v>
      </c>
      <c r="Y47" s="109">
        <f>ROUND($Q47+(Teams!$F$2*($S47-$U47)),0)</f>
        <v>1562</v>
      </c>
      <c r="Z47" s="109">
        <f>ROUND($R47+(Teams!$F$2*($T47-$V47)),0)</f>
        <v>1560</v>
      </c>
    </row>
    <row r="48" spans="2:26" ht="12.75">
      <c r="B48" s="190">
        <v>10</v>
      </c>
      <c r="C48" s="136" t="s">
        <v>64</v>
      </c>
      <c r="D48" s="126" t="str">
        <f>INDEX(Teams!$B$5:$E$37,MATCH(Results!C48,Teams!$B$5:$B$37,0),4)</f>
        <v>ARK</v>
      </c>
      <c r="E48" s="127">
        <v>44</v>
      </c>
      <c r="F48" s="139">
        <v>31</v>
      </c>
      <c r="G48" s="126" t="str">
        <f>INDEX(Teams!$B$5:$E$37,MATCH(Results!H48,Teams!$B$5:$B$37,0),4)</f>
        <v>RCU</v>
      </c>
      <c r="H48" s="142" t="s">
        <v>20</v>
      </c>
      <c r="I48" s="145" t="str">
        <f>INDEX(Teams!$B$5:$F$15,MATCH(Results!$C48,Teams!$B$5:$B$15,0),2)</f>
        <v>Walker Field</v>
      </c>
      <c r="J48" s="129" t="str">
        <f>D48&amp;G48</f>
        <v>ARKRCU</v>
      </c>
      <c r="K48" s="128" t="str">
        <f>IF(L48=0,"",IF(E48&gt;F48,D48,G48))</f>
        <v>ARK</v>
      </c>
      <c r="L48" s="128">
        <f>IF(OR(E48="",F48=""),0,1)</f>
        <v>1</v>
      </c>
      <c r="M48" s="128">
        <f>ABS(E48-F48)</f>
        <v>13</v>
      </c>
      <c r="N48" s="128" t="str">
        <f>IF(K48="","",IF(K48=D48,"Home","Away"))</f>
        <v>Home</v>
      </c>
      <c r="O48" s="131" t="str">
        <f t="shared" si="5"/>
        <v>ARK10</v>
      </c>
      <c r="P48" s="131" t="str">
        <f t="shared" si="6"/>
        <v>RCU10</v>
      </c>
      <c r="Q48" s="131">
        <f>INDEX(RankPoints!$B$2:$L$14,Results!$B48+1,MATCH(Results!$D48,RankPoints!$B$2:$L$2,0))</f>
        <v>1670</v>
      </c>
      <c r="R48" s="131">
        <f>INDEX(RankPoints!$B$2:$L$14,Results!$B48+1,MATCH(Results!$G48,RankPoints!$B$2:$L$2,0))</f>
        <v>1562</v>
      </c>
      <c r="S48" s="126">
        <f t="shared" si="7"/>
        <v>1</v>
      </c>
      <c r="T48" s="131">
        <f t="shared" si="8"/>
        <v>0</v>
      </c>
      <c r="U48" s="130">
        <f>1/(1+(10^($W48/Teams!$F$3)))</f>
        <v>0.3493953720661275</v>
      </c>
      <c r="V48" s="148">
        <f>1/(1+(10^($X48/Teams!$F$3)))</f>
        <v>0.6506046279338725</v>
      </c>
      <c r="W48" s="126">
        <f t="shared" si="9"/>
        <v>108</v>
      </c>
      <c r="X48" s="126">
        <f t="shared" si="10"/>
        <v>-108</v>
      </c>
      <c r="Y48" s="150">
        <f>ROUND($Q48+(Teams!$F$2*($S48-$U48)),0)</f>
        <v>1691</v>
      </c>
      <c r="Z48" s="131">
        <f>ROUND($R48+(Teams!$F$2*($T48-$V48)),0)</f>
        <v>1541</v>
      </c>
    </row>
    <row r="49" spans="2:26" ht="12.75">
      <c r="B49" s="191">
        <v>10</v>
      </c>
      <c r="C49" s="137" t="s">
        <v>63</v>
      </c>
      <c r="D49" s="111" t="str">
        <f>INDEX(Teams!$B$5:$E$37,MATCH(Results!C49,Teams!$B$5:$B$37,0),4)</f>
        <v>UTC</v>
      </c>
      <c r="E49" s="124">
        <v>30</v>
      </c>
      <c r="F49" s="140">
        <v>27</v>
      </c>
      <c r="G49" s="111" t="str">
        <f>INDEX(Teams!$B$5:$E$37,MATCH(Results!H49,Teams!$B$5:$B$37,0),4)</f>
        <v>CLD</v>
      </c>
      <c r="H49" s="143" t="s">
        <v>19</v>
      </c>
      <c r="I49" s="146" t="str">
        <f>INDEX(Teams!$B$5:$F$15,MATCH(Results!$C49,Teams!$B$5:$B$15,0),2)</f>
        <v>The Pit</v>
      </c>
      <c r="J49" s="125" t="str">
        <f>D49&amp;G49</f>
        <v>UTCCLD</v>
      </c>
      <c r="K49" s="123" t="str">
        <f>IF(L49=0,"",IF(E49&gt;F49,D49,G49))</f>
        <v>UTC</v>
      </c>
      <c r="L49" s="123">
        <f>IF(OR(E49="",F49=""),0,1)</f>
        <v>1</v>
      </c>
      <c r="M49" s="123">
        <f>ABS(E49-F49)</f>
        <v>3</v>
      </c>
      <c r="N49" s="123" t="str">
        <f>IF(K49="","",IF(K49=D49,"Home","Away"))</f>
        <v>Home</v>
      </c>
      <c r="O49" s="109" t="str">
        <f t="shared" si="5"/>
        <v>UTC10</v>
      </c>
      <c r="P49" s="109" t="str">
        <f t="shared" si="6"/>
        <v>CLD10</v>
      </c>
      <c r="Q49" s="109">
        <f>INDEX(RankPoints!$B$2:$L$14,Results!$B49+1,MATCH(Results!$D49,RankPoints!$B$2:$L$2,0))</f>
        <v>1634</v>
      </c>
      <c r="R49" s="109">
        <f>INDEX(RankPoints!$B$2:$L$14,Results!$B49+1,MATCH(Results!$G49,RankPoints!$B$2:$L$2,0))</f>
        <v>1560</v>
      </c>
      <c r="S49" s="111">
        <f t="shared" si="7"/>
        <v>1</v>
      </c>
      <c r="T49" s="109">
        <f t="shared" si="8"/>
        <v>0</v>
      </c>
      <c r="U49" s="112">
        <f>1/(1+(10^($W49/Teams!$F$3)))</f>
        <v>0.3950870979920431</v>
      </c>
      <c r="V49" s="113">
        <f>1/(1+(10^($X49/Teams!$F$3)))</f>
        <v>0.6049129020079569</v>
      </c>
      <c r="W49" s="111">
        <f t="shared" si="9"/>
        <v>74</v>
      </c>
      <c r="X49" s="111">
        <f t="shared" si="10"/>
        <v>-74</v>
      </c>
      <c r="Y49" s="107">
        <f>ROUND($Q49+(Teams!$F$2*($S49-$U49)),0)</f>
        <v>1653</v>
      </c>
      <c r="Z49" s="109">
        <f>ROUND($R49+(Teams!$F$2*($T49-$V49)),0)</f>
        <v>1541</v>
      </c>
    </row>
    <row r="50" spans="2:26" ht="12.75">
      <c r="B50" s="191">
        <v>11</v>
      </c>
      <c r="C50" s="137" t="s">
        <v>19</v>
      </c>
      <c r="D50" s="111" t="str">
        <f>INDEX(Teams!$B$5:$E$37,MATCH(Results!C50,Teams!$B$5:$B$37,0),4)</f>
        <v>CLD</v>
      </c>
      <c r="E50" s="124">
        <v>14</v>
      </c>
      <c r="F50" s="140">
        <v>3</v>
      </c>
      <c r="G50" s="111" t="str">
        <f>INDEX(Teams!$B$5:$E$37,MATCH(Results!H50,Teams!$B$5:$B$37,0),4)</f>
        <v>RCU</v>
      </c>
      <c r="H50" s="143" t="s">
        <v>20</v>
      </c>
      <c r="I50" s="146" t="s">
        <v>28</v>
      </c>
      <c r="J50" s="125" t="str">
        <f>D50&amp;G50</f>
        <v>CLDRCU</v>
      </c>
      <c r="K50" s="123" t="str">
        <f>IF(L50=0,"",IF(E50&gt;F50,D50,G50))</f>
        <v>CLD</v>
      </c>
      <c r="L50" s="123">
        <f>IF(OR(E50="",F50=""),0,1)</f>
        <v>1</v>
      </c>
      <c r="M50" s="123">
        <f>ABS(E50-F50)</f>
        <v>11</v>
      </c>
      <c r="N50" s="123" t="str">
        <f>IF(K50="","",IF(K50=D50,"Home","Away"))</f>
        <v>Home</v>
      </c>
      <c r="O50" s="109" t="str">
        <f t="shared" si="5"/>
        <v>CLD11</v>
      </c>
      <c r="P50" s="109" t="str">
        <f t="shared" si="6"/>
        <v>RCU11</v>
      </c>
      <c r="Q50" s="109">
        <f>INDEX(RankPoints!$B$2:$L$14,Results!$B50+1,MATCH(Results!$D50,RankPoints!$B$2:$L$2,0))</f>
        <v>1541</v>
      </c>
      <c r="R50" s="109">
        <f>INDEX(RankPoints!$B$2:$L$14,Results!$B50+1,MATCH(Results!$G50,RankPoints!$B$2:$L$2,0))</f>
        <v>1541</v>
      </c>
      <c r="S50" s="111">
        <f t="shared" si="7"/>
        <v>1</v>
      </c>
      <c r="T50" s="109">
        <f t="shared" si="8"/>
        <v>0</v>
      </c>
      <c r="U50" s="112">
        <f>1/(1+(10^($W50/Teams!$F$3)))</f>
        <v>0.5</v>
      </c>
      <c r="V50" s="113">
        <f>1/(1+(10^($X50/Teams!$F$3)))</f>
        <v>0.5</v>
      </c>
      <c r="W50" s="111">
        <f t="shared" si="9"/>
        <v>0</v>
      </c>
      <c r="X50" s="111">
        <f t="shared" si="10"/>
        <v>0</v>
      </c>
      <c r="Y50" s="107">
        <f>ROUND($Q50+(Teams!$F$2*($S50-$U50)),0)</f>
        <v>1557</v>
      </c>
      <c r="Z50" s="109">
        <f>ROUND($R50+(Teams!$F$2*($T50-$V50)),0)</f>
        <v>1525</v>
      </c>
    </row>
    <row r="51" spans="2:26" ht="13.5" thickBot="1">
      <c r="B51" s="192">
        <v>11</v>
      </c>
      <c r="C51" s="138" t="s">
        <v>64</v>
      </c>
      <c r="D51" s="83" t="str">
        <f>INDEX(Teams!$B$5:$E$37,MATCH(Results!C51,Teams!$B$5:$B$37,0),4)</f>
        <v>ARK</v>
      </c>
      <c r="E51" s="132">
        <v>17</v>
      </c>
      <c r="F51" s="141">
        <v>23</v>
      </c>
      <c r="G51" s="83" t="str">
        <f>INDEX(Teams!$B$5:$E$37,MATCH(Results!H51,Teams!$B$5:$B$37,0),4)</f>
        <v>UTC</v>
      </c>
      <c r="H51" s="144" t="s">
        <v>63</v>
      </c>
      <c r="I51" s="147" t="s">
        <v>25</v>
      </c>
      <c r="J51" s="134" t="str">
        <f>D51&amp;G51</f>
        <v>ARKUTC</v>
      </c>
      <c r="K51" s="133" t="str">
        <f>IF(L51=0,"",IF(E51&gt;F51,D51,G51))</f>
        <v>UTC</v>
      </c>
      <c r="L51" s="133">
        <f>IF(OR(E51="",F51=""),0,1)</f>
        <v>1</v>
      </c>
      <c r="M51" s="133">
        <f>ABS(E51-F51)</f>
        <v>6</v>
      </c>
      <c r="N51" s="133" t="str">
        <f>IF(K51="","",IF(K51=D51,"Home","Away"))</f>
        <v>Away</v>
      </c>
      <c r="O51" s="110" t="str">
        <f t="shared" si="5"/>
        <v>ARK11</v>
      </c>
      <c r="P51" s="110" t="str">
        <f t="shared" si="6"/>
        <v>UTC11</v>
      </c>
      <c r="Q51" s="110">
        <f>INDEX(RankPoints!$B$2:$L$14,Results!$B51+1,MATCH(Results!$D51,RankPoints!$B$2:$L$2,0))</f>
        <v>1691</v>
      </c>
      <c r="R51" s="110">
        <f>INDEX(RankPoints!$B$2:$L$14,Results!$B51+1,MATCH(Results!$G51,RankPoints!$B$2:$L$2,0))</f>
        <v>1653</v>
      </c>
      <c r="S51" s="83">
        <f t="shared" si="7"/>
        <v>0</v>
      </c>
      <c r="T51" s="110">
        <f t="shared" si="8"/>
        <v>1</v>
      </c>
      <c r="U51" s="135">
        <f>1/(1+(10^($W51/Teams!$F$3)))</f>
        <v>0.44553062597832394</v>
      </c>
      <c r="V51" s="149">
        <f>1/(1+(10^($X51/Teams!$F$3)))</f>
        <v>0.5544693740216761</v>
      </c>
      <c r="W51" s="83">
        <f t="shared" si="9"/>
        <v>38</v>
      </c>
      <c r="X51" s="83">
        <f t="shared" si="10"/>
        <v>-38</v>
      </c>
      <c r="Y51" s="108">
        <f>ROUND($Q51+(Teams!$F$2*($S51-$U51)),0)</f>
        <v>1677</v>
      </c>
      <c r="Z51" s="110">
        <f>ROUND($R51+(Teams!$F$2*($T51-$V51)),0)</f>
        <v>1667</v>
      </c>
    </row>
  </sheetData>
  <sheetProtection sheet="1" objects="1" scenarios="1" selectLockedCells="1"/>
  <mergeCells count="1">
    <mergeCell ref="E2:F2"/>
  </mergeCells>
  <conditionalFormatting sqref="C3:D51">
    <cfRule type="expression" priority="1" dxfId="2" stopIfTrue="1">
      <formula>IF($E3&gt;$F3,1,0)=1</formula>
    </cfRule>
  </conditionalFormatting>
  <conditionalFormatting sqref="G3:H51">
    <cfRule type="expression" priority="2" dxfId="2" stopIfTrue="1">
      <formula>IF($F3&gt;$E3,1,0)=1</formula>
    </cfRule>
  </conditionalFormatting>
  <conditionalFormatting sqref="E3:F51">
    <cfRule type="cellIs" priority="3" dxfId="3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3"/>
  <sheetViews>
    <sheetView workbookViewId="0" topLeftCell="A1">
      <selection activeCell="F17" sqref="F17"/>
    </sheetView>
  </sheetViews>
  <sheetFormatPr defaultColWidth="9.140625" defaultRowHeight="12.75"/>
  <cols>
    <col min="1" max="1" width="9.140625" style="193" customWidth="1"/>
    <col min="2" max="12" width="9.140625" style="1" customWidth="1"/>
    <col min="13" max="19" width="9.140625" style="193" customWidth="1"/>
  </cols>
  <sheetData>
    <row r="1" spans="2:12" s="193" customFormat="1" ht="13.5" thickBot="1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13.5" thickBot="1">
      <c r="B2" s="195" t="s">
        <v>13</v>
      </c>
      <c r="C2" s="196" t="s">
        <v>48</v>
      </c>
      <c r="D2" s="196" t="s">
        <v>77</v>
      </c>
      <c r="E2" s="196" t="s">
        <v>78</v>
      </c>
      <c r="F2" s="196" t="s">
        <v>79</v>
      </c>
      <c r="G2" s="196" t="s">
        <v>80</v>
      </c>
      <c r="H2" s="196" t="s">
        <v>81</v>
      </c>
      <c r="I2" s="196" t="s">
        <v>82</v>
      </c>
      <c r="J2" s="196" t="s">
        <v>32</v>
      </c>
      <c r="K2" s="196" t="s">
        <v>83</v>
      </c>
      <c r="L2" s="197" t="s">
        <v>49</v>
      </c>
    </row>
    <row r="3" spans="2:12" ht="12.75">
      <c r="B3" s="198">
        <v>1</v>
      </c>
      <c r="C3" s="200">
        <v>1500</v>
      </c>
      <c r="D3" s="200">
        <v>1500</v>
      </c>
      <c r="E3" s="200">
        <v>1500</v>
      </c>
      <c r="F3" s="200">
        <v>1500</v>
      </c>
      <c r="G3" s="200">
        <v>1500</v>
      </c>
      <c r="H3" s="200">
        <v>1500</v>
      </c>
      <c r="I3" s="200">
        <v>1500</v>
      </c>
      <c r="J3" s="200">
        <v>1500</v>
      </c>
      <c r="K3" s="200">
        <v>1500</v>
      </c>
      <c r="L3" s="201">
        <v>1500</v>
      </c>
    </row>
    <row r="4" spans="2:12" ht="12.75">
      <c r="B4" s="198">
        <f>B3+1</f>
        <v>2</v>
      </c>
      <c r="C4" s="200">
        <f>IF(ISERROR(IF(ISERROR(INDEX(Results!$B$2:$Z$51,MATCH(RankPoints!C$2&amp;RankPoints!$B3,Results!$O$2:$O$51,0),24)),INDEX(Results!$B$2:$Z$51,MATCH(RankPoints!C$2&amp;RankPoints!$B3,Results!$P$2:$P$51,0),25),INDEX(Results!$B$2:$Z$51,MATCH(RankPoints!C$2&amp;RankPoints!$B3,Results!$O$2:$O$51,0),24))),C3,IF(ISERROR(INDEX(Results!$B$2:$Z$51,MATCH(RankPoints!C$2&amp;RankPoints!$B3,Results!$O$2:$O$51,0),24)),INDEX(Results!$B$2:$Z$51,MATCH(RankPoints!C$2&amp;RankPoints!$B3,Results!$P$2:$P$51,0),25),INDEX(Results!$B$2:$Z$51,MATCH(RankPoints!C$2&amp;RankPoints!$B3,Results!$O$2:$O$51,0),24)))</f>
        <v>1516</v>
      </c>
      <c r="D4" s="200">
        <f>IF(ISERROR(IF(ISERROR(INDEX(Results!$B$2:$Z$51,MATCH(RankPoints!D$2&amp;RankPoints!$B3,Results!$O$2:$O$51,0),24)),INDEX(Results!$B$2:$Z$51,MATCH(RankPoints!D$2&amp;RankPoints!$B3,Results!$P$2:$P$51,0),25),INDEX(Results!$B$2:$Z$51,MATCH(RankPoints!D$2&amp;RankPoints!$B3,Results!$O$2:$O$51,0),24))),D3,IF(ISERROR(INDEX(Results!$B$2:$Z$51,MATCH(RankPoints!D$2&amp;RankPoints!$B3,Results!$O$2:$O$51,0),24)),INDEX(Results!$B$2:$Z$51,MATCH(RankPoints!D$2&amp;RankPoints!$B3,Results!$P$2:$P$51,0),25),INDEX(Results!$B$2:$Z$51,MATCH(RankPoints!D$2&amp;RankPoints!$B3,Results!$O$2:$O$51,0),24)))</f>
        <v>1516</v>
      </c>
      <c r="E4" s="200">
        <f>IF(ISERROR(IF(ISERROR(INDEX(Results!$B$2:$Z$51,MATCH(RankPoints!E$2&amp;RankPoints!$B3,Results!$O$2:$O$51,0),24)),INDEX(Results!$B$2:$Z$51,MATCH(RankPoints!E$2&amp;RankPoints!$B3,Results!$P$2:$P$51,0),25),INDEX(Results!$B$2:$Z$51,MATCH(RankPoints!E$2&amp;RankPoints!$B3,Results!$O$2:$O$51,0),24))),E3,IF(ISERROR(INDEX(Results!$B$2:$Z$51,MATCH(RankPoints!E$2&amp;RankPoints!$B3,Results!$O$2:$O$51,0),24)),INDEX(Results!$B$2:$Z$51,MATCH(RankPoints!E$2&amp;RankPoints!$B3,Results!$P$2:$P$51,0),25),INDEX(Results!$B$2:$Z$51,MATCH(RankPoints!E$2&amp;RankPoints!$B3,Results!$O$2:$O$51,0),24)))</f>
        <v>1516</v>
      </c>
      <c r="F4" s="200">
        <f>IF(ISERROR(IF(ISERROR(INDEX(Results!$B$2:$Z$51,MATCH(RankPoints!F$2&amp;RankPoints!$B3,Results!$O$2:$O$51,0),24)),INDEX(Results!$B$2:$Z$51,MATCH(RankPoints!F$2&amp;RankPoints!$B3,Results!$P$2:$P$51,0),25),INDEX(Results!$B$2:$Z$51,MATCH(RankPoints!F$2&amp;RankPoints!$B3,Results!$O$2:$O$51,0),24))),F3,IF(ISERROR(INDEX(Results!$B$2:$Z$51,MATCH(RankPoints!F$2&amp;RankPoints!$B3,Results!$O$2:$O$51,0),24)),INDEX(Results!$B$2:$Z$51,MATCH(RankPoints!F$2&amp;RankPoints!$B3,Results!$P$2:$P$51,0),25),INDEX(Results!$B$2:$Z$51,MATCH(RankPoints!F$2&amp;RankPoints!$B3,Results!$O$2:$O$51,0),24)))</f>
        <v>1484</v>
      </c>
      <c r="G4" s="200">
        <f>IF(ISERROR(IF(ISERROR(INDEX(Results!$B$2:$Z$51,MATCH(RankPoints!G$2&amp;RankPoints!$B3,Results!$O$2:$O$51,0),24)),INDEX(Results!$B$2:$Z$51,MATCH(RankPoints!G$2&amp;RankPoints!$B3,Results!$P$2:$P$51,0),25),INDEX(Results!$B$2:$Z$51,MATCH(RankPoints!G$2&amp;RankPoints!$B3,Results!$O$2:$O$51,0),24))),G3,IF(ISERROR(INDEX(Results!$B$2:$Z$51,MATCH(RankPoints!G$2&amp;RankPoints!$B3,Results!$O$2:$O$51,0),24)),INDEX(Results!$B$2:$Z$51,MATCH(RankPoints!G$2&amp;RankPoints!$B3,Results!$P$2:$P$51,0),25),INDEX(Results!$B$2:$Z$51,MATCH(RankPoints!G$2&amp;RankPoints!$B3,Results!$O$2:$O$51,0),24)))</f>
        <v>1484</v>
      </c>
      <c r="H4" s="200">
        <f>IF(ISERROR(IF(ISERROR(INDEX(Results!$B$2:$Z$51,MATCH(RankPoints!H$2&amp;RankPoints!$B3,Results!$O$2:$O$51,0),24)),INDEX(Results!$B$2:$Z$51,MATCH(RankPoints!H$2&amp;RankPoints!$B3,Results!$P$2:$P$51,0),25),INDEX(Results!$B$2:$Z$51,MATCH(RankPoints!H$2&amp;RankPoints!$B3,Results!$O$2:$O$51,0),24))),H3,IF(ISERROR(INDEX(Results!$B$2:$Z$51,MATCH(RankPoints!H$2&amp;RankPoints!$B3,Results!$O$2:$O$51,0),24)),INDEX(Results!$B$2:$Z$51,MATCH(RankPoints!H$2&amp;RankPoints!$B3,Results!$P$2:$P$51,0),25),INDEX(Results!$B$2:$Z$51,MATCH(RankPoints!H$2&amp;RankPoints!$B3,Results!$O$2:$O$51,0),24)))</f>
        <v>1484</v>
      </c>
      <c r="I4" s="200">
        <f>IF(ISERROR(IF(ISERROR(INDEX(Results!$B$2:$Z$51,MATCH(RankPoints!I$2&amp;RankPoints!$B3,Results!$O$2:$O$51,0),24)),INDEX(Results!$B$2:$Z$51,MATCH(RankPoints!I$2&amp;RankPoints!$B3,Results!$P$2:$P$51,0),25),INDEX(Results!$B$2:$Z$51,MATCH(RankPoints!I$2&amp;RankPoints!$B3,Results!$O$2:$O$51,0),24))),I3,IF(ISERROR(INDEX(Results!$B$2:$Z$51,MATCH(RankPoints!I$2&amp;RankPoints!$B3,Results!$O$2:$O$51,0),24)),INDEX(Results!$B$2:$Z$51,MATCH(RankPoints!I$2&amp;RankPoints!$B3,Results!$P$2:$P$51,0),25),INDEX(Results!$B$2:$Z$51,MATCH(RankPoints!I$2&amp;RankPoints!$B3,Results!$O$2:$O$51,0),24)))</f>
        <v>1484</v>
      </c>
      <c r="J4" s="200">
        <f>IF(ISERROR(IF(ISERROR(INDEX(Results!$B$2:$Z$51,MATCH(RankPoints!J$2&amp;RankPoints!$B3,Results!$O$2:$O$51,0),24)),INDEX(Results!$B$2:$Z$51,MATCH(RankPoints!J$2&amp;RankPoints!$B3,Results!$P$2:$P$51,0),25),INDEX(Results!$B$2:$Z$51,MATCH(RankPoints!J$2&amp;RankPoints!$B3,Results!$O$2:$O$51,0),24))),J3,IF(ISERROR(INDEX(Results!$B$2:$Z$51,MATCH(RankPoints!J$2&amp;RankPoints!$B3,Results!$O$2:$O$51,0),24)),INDEX(Results!$B$2:$Z$51,MATCH(RankPoints!J$2&amp;RankPoints!$B3,Results!$P$2:$P$51,0),25),INDEX(Results!$B$2:$Z$51,MATCH(RankPoints!J$2&amp;RankPoints!$B3,Results!$O$2:$O$51,0),24)))</f>
        <v>1516</v>
      </c>
      <c r="K4" s="200">
        <f>IF(ISERROR(IF(ISERROR(INDEX(Results!$B$2:$Z$51,MATCH(RankPoints!K$2&amp;RankPoints!$B3,Results!$O$2:$O$51,0),24)),INDEX(Results!$B$2:$Z$51,MATCH(RankPoints!K$2&amp;RankPoints!$B3,Results!$P$2:$P$51,0),25),INDEX(Results!$B$2:$Z$51,MATCH(RankPoints!K$2&amp;RankPoints!$B3,Results!$O$2:$O$51,0),24))),K3,IF(ISERROR(INDEX(Results!$B$2:$Z$51,MATCH(RankPoints!K$2&amp;RankPoints!$B3,Results!$O$2:$O$51,0),24)),INDEX(Results!$B$2:$Z$51,MATCH(RankPoints!K$2&amp;RankPoints!$B3,Results!$P$2:$P$51,0),25),INDEX(Results!$B$2:$Z$51,MATCH(RankPoints!K$2&amp;RankPoints!$B3,Results!$O$2:$O$51,0),24)))</f>
        <v>1484</v>
      </c>
      <c r="L4" s="201">
        <f>IF(ISERROR(IF(ISERROR(INDEX(Results!$B$2:$Z$51,MATCH(RankPoints!L$2&amp;RankPoints!$B3,Results!$O$2:$O$51,0),24)),INDEX(Results!$B$2:$Z$51,MATCH(RankPoints!L$2&amp;RankPoints!$B3,Results!$P$2:$P$51,0),25),INDEX(Results!$B$2:$Z$51,MATCH(RankPoints!L$2&amp;RankPoints!$B3,Results!$O$2:$O$51,0),24))),L3,IF(ISERROR(INDEX(Results!$B$2:$Z$51,MATCH(RankPoints!L$2&amp;RankPoints!$B3,Results!$O$2:$O$51,0),24)),INDEX(Results!$B$2:$Z$51,MATCH(RankPoints!L$2&amp;RankPoints!$B3,Results!$P$2:$P$51,0),25),INDEX(Results!$B$2:$Z$51,MATCH(RankPoints!L$2&amp;RankPoints!$B3,Results!$O$2:$O$51,0),24)))</f>
        <v>1516</v>
      </c>
    </row>
    <row r="5" spans="2:12" ht="12.75">
      <c r="B5" s="198">
        <f aca="true" t="shared" si="0" ref="B5:B14">B4+1</f>
        <v>3</v>
      </c>
      <c r="C5" s="200">
        <f>IF(ISERROR(IF(ISERROR(INDEX(Results!$B$2:$Z$51,MATCH(RankPoints!C$2&amp;RankPoints!$B4,Results!$O$2:$O$51,0),24)),INDEX(Results!$B$2:$Z$51,MATCH(RankPoints!C$2&amp;RankPoints!$B4,Results!$P$2:$P$51,0),25),INDEX(Results!$B$2:$Z$51,MATCH(RankPoints!C$2&amp;RankPoints!$B4,Results!$O$2:$O$51,0),24))),C4,IF(ISERROR(INDEX(Results!$B$2:$Z$51,MATCH(RankPoints!C$2&amp;RankPoints!$B4,Results!$O$2:$O$51,0),24)),INDEX(Results!$B$2:$Z$51,MATCH(RankPoints!C$2&amp;RankPoints!$B4,Results!$P$2:$P$51,0),25),INDEX(Results!$B$2:$Z$51,MATCH(RankPoints!C$2&amp;RankPoints!$B4,Results!$O$2:$O$51,0),24)))</f>
        <v>1533</v>
      </c>
      <c r="D5" s="200">
        <f>IF(ISERROR(IF(ISERROR(INDEX(Results!$B$2:$Z$51,MATCH(RankPoints!D$2&amp;RankPoints!$B4,Results!$O$2:$O$51,0),24)),INDEX(Results!$B$2:$Z$51,MATCH(RankPoints!D$2&amp;RankPoints!$B4,Results!$P$2:$P$51,0),25),INDEX(Results!$B$2:$Z$51,MATCH(RankPoints!D$2&amp;RankPoints!$B4,Results!$O$2:$O$51,0),24))),D4,IF(ISERROR(INDEX(Results!$B$2:$Z$51,MATCH(RankPoints!D$2&amp;RankPoints!$B4,Results!$O$2:$O$51,0),24)),INDEX(Results!$B$2:$Z$51,MATCH(RankPoints!D$2&amp;RankPoints!$B4,Results!$P$2:$P$51,0),25),INDEX(Results!$B$2:$Z$51,MATCH(RankPoints!D$2&amp;RankPoints!$B4,Results!$O$2:$O$51,0),24)))</f>
        <v>1533</v>
      </c>
      <c r="E5" s="200">
        <f>IF(ISERROR(IF(ISERROR(INDEX(Results!$B$2:$Z$51,MATCH(RankPoints!E$2&amp;RankPoints!$B4,Results!$O$2:$O$51,0),24)),INDEX(Results!$B$2:$Z$51,MATCH(RankPoints!E$2&amp;RankPoints!$B4,Results!$P$2:$P$51,0),25),INDEX(Results!$B$2:$Z$51,MATCH(RankPoints!E$2&amp;RankPoints!$B4,Results!$O$2:$O$51,0),24))),E4,IF(ISERROR(INDEX(Results!$B$2:$Z$51,MATCH(RankPoints!E$2&amp;RankPoints!$B4,Results!$O$2:$O$51,0),24)),INDEX(Results!$B$2:$Z$51,MATCH(RankPoints!E$2&amp;RankPoints!$B4,Results!$P$2:$P$51,0),25),INDEX(Results!$B$2:$Z$51,MATCH(RankPoints!E$2&amp;RankPoints!$B4,Results!$O$2:$O$51,0),24)))</f>
        <v>1500</v>
      </c>
      <c r="F5" s="200">
        <f>IF(ISERROR(IF(ISERROR(INDEX(Results!$B$2:$Z$51,MATCH(RankPoints!F$2&amp;RankPoints!$B4,Results!$O$2:$O$51,0),24)),INDEX(Results!$B$2:$Z$51,MATCH(RankPoints!F$2&amp;RankPoints!$B4,Results!$P$2:$P$51,0),25),INDEX(Results!$B$2:$Z$51,MATCH(RankPoints!F$2&amp;RankPoints!$B4,Results!$O$2:$O$51,0),24))),F4,IF(ISERROR(INDEX(Results!$B$2:$Z$51,MATCH(RankPoints!F$2&amp;RankPoints!$B4,Results!$O$2:$O$51,0),24)),INDEX(Results!$B$2:$Z$51,MATCH(RankPoints!F$2&amp;RankPoints!$B4,Results!$P$2:$P$51,0),25),INDEX(Results!$B$2:$Z$51,MATCH(RankPoints!F$2&amp;RankPoints!$B4,Results!$O$2:$O$51,0),24)))</f>
        <v>1467</v>
      </c>
      <c r="G5" s="200">
        <f>IF(ISERROR(IF(ISERROR(INDEX(Results!$B$2:$Z$51,MATCH(RankPoints!G$2&amp;RankPoints!$B4,Results!$O$2:$O$51,0),24)),INDEX(Results!$B$2:$Z$51,MATCH(RankPoints!G$2&amp;RankPoints!$B4,Results!$P$2:$P$51,0),25),INDEX(Results!$B$2:$Z$51,MATCH(RankPoints!G$2&amp;RankPoints!$B4,Results!$O$2:$O$51,0),24))),G4,IF(ISERROR(INDEX(Results!$B$2:$Z$51,MATCH(RankPoints!G$2&amp;RankPoints!$B4,Results!$O$2:$O$51,0),24)),INDEX(Results!$B$2:$Z$51,MATCH(RankPoints!G$2&amp;RankPoints!$B4,Results!$P$2:$P$51,0),25),INDEX(Results!$B$2:$Z$51,MATCH(RankPoints!G$2&amp;RankPoints!$B4,Results!$O$2:$O$51,0),24)))</f>
        <v>1467</v>
      </c>
      <c r="H5" s="200">
        <f>IF(ISERROR(IF(ISERROR(INDEX(Results!$B$2:$Z$51,MATCH(RankPoints!H$2&amp;RankPoints!$B4,Results!$O$2:$O$51,0),24)),INDEX(Results!$B$2:$Z$51,MATCH(RankPoints!H$2&amp;RankPoints!$B4,Results!$P$2:$P$51,0),25),INDEX(Results!$B$2:$Z$51,MATCH(RankPoints!H$2&amp;RankPoints!$B4,Results!$O$2:$O$51,0),24))),H4,IF(ISERROR(INDEX(Results!$B$2:$Z$51,MATCH(RankPoints!H$2&amp;RankPoints!$B4,Results!$O$2:$O$51,0),24)),INDEX(Results!$B$2:$Z$51,MATCH(RankPoints!H$2&amp;RankPoints!$B4,Results!$P$2:$P$51,0),25),INDEX(Results!$B$2:$Z$51,MATCH(RankPoints!H$2&amp;RankPoints!$B4,Results!$O$2:$O$51,0),24)))</f>
        <v>1467</v>
      </c>
      <c r="I5" s="200">
        <f>IF(ISERROR(IF(ISERROR(INDEX(Results!$B$2:$Z$51,MATCH(RankPoints!I$2&amp;RankPoints!$B4,Results!$O$2:$O$51,0),24)),INDEX(Results!$B$2:$Z$51,MATCH(RankPoints!I$2&amp;RankPoints!$B4,Results!$P$2:$P$51,0),25),INDEX(Results!$B$2:$Z$51,MATCH(RankPoints!I$2&amp;RankPoints!$B4,Results!$O$2:$O$51,0),24))),I4,IF(ISERROR(INDEX(Results!$B$2:$Z$51,MATCH(RankPoints!I$2&amp;RankPoints!$B4,Results!$O$2:$O$51,0),24)),INDEX(Results!$B$2:$Z$51,MATCH(RankPoints!I$2&amp;RankPoints!$B4,Results!$P$2:$P$51,0),25),INDEX(Results!$B$2:$Z$51,MATCH(RankPoints!I$2&amp;RankPoints!$B4,Results!$O$2:$O$51,0),24)))</f>
        <v>1500</v>
      </c>
      <c r="J5" s="200">
        <f>IF(ISERROR(IF(ISERROR(INDEX(Results!$B$2:$Z$51,MATCH(RankPoints!J$2&amp;RankPoints!$B4,Results!$O$2:$O$51,0),24)),INDEX(Results!$B$2:$Z$51,MATCH(RankPoints!J$2&amp;RankPoints!$B4,Results!$P$2:$P$51,0),25),INDEX(Results!$B$2:$Z$51,MATCH(RankPoints!J$2&amp;RankPoints!$B4,Results!$O$2:$O$51,0),24))),J4,IF(ISERROR(INDEX(Results!$B$2:$Z$51,MATCH(RankPoints!J$2&amp;RankPoints!$B4,Results!$O$2:$O$51,0),24)),INDEX(Results!$B$2:$Z$51,MATCH(RankPoints!J$2&amp;RankPoints!$B4,Results!$P$2:$P$51,0),25),INDEX(Results!$B$2:$Z$51,MATCH(RankPoints!J$2&amp;RankPoints!$B4,Results!$O$2:$O$51,0),24)))</f>
        <v>1533</v>
      </c>
      <c r="K5" s="200">
        <f>IF(ISERROR(IF(ISERROR(INDEX(Results!$B$2:$Z$51,MATCH(RankPoints!K$2&amp;RankPoints!$B4,Results!$O$2:$O$51,0),24)),INDEX(Results!$B$2:$Z$51,MATCH(RankPoints!K$2&amp;RankPoints!$B4,Results!$P$2:$P$51,0),25),INDEX(Results!$B$2:$Z$51,MATCH(RankPoints!K$2&amp;RankPoints!$B4,Results!$O$2:$O$51,0),24))),K4,IF(ISERROR(INDEX(Results!$B$2:$Z$51,MATCH(RankPoints!K$2&amp;RankPoints!$B4,Results!$O$2:$O$51,0),24)),INDEX(Results!$B$2:$Z$51,MATCH(RankPoints!K$2&amp;RankPoints!$B4,Results!$P$2:$P$51,0),25),INDEX(Results!$B$2:$Z$51,MATCH(RankPoints!K$2&amp;RankPoints!$B4,Results!$O$2:$O$51,0),24)))</f>
        <v>1468</v>
      </c>
      <c r="L5" s="201">
        <f>IF(ISERROR(IF(ISERROR(INDEX(Results!$B$2:$Z$51,MATCH(RankPoints!L$2&amp;RankPoints!$B4,Results!$O$2:$O$51,0),24)),INDEX(Results!$B$2:$Z$51,MATCH(RankPoints!L$2&amp;RankPoints!$B4,Results!$P$2:$P$51,0),25),INDEX(Results!$B$2:$Z$51,MATCH(RankPoints!L$2&amp;RankPoints!$B4,Results!$O$2:$O$51,0),24))),L4,IF(ISERROR(INDEX(Results!$B$2:$Z$51,MATCH(RankPoints!L$2&amp;RankPoints!$B4,Results!$O$2:$O$51,0),24)),INDEX(Results!$B$2:$Z$51,MATCH(RankPoints!L$2&amp;RankPoints!$B4,Results!$P$2:$P$51,0),25),INDEX(Results!$B$2:$Z$51,MATCH(RankPoints!L$2&amp;RankPoints!$B4,Results!$O$2:$O$51,0),24)))</f>
        <v>1532</v>
      </c>
    </row>
    <row r="6" spans="2:12" ht="12.75">
      <c r="B6" s="198">
        <f t="shared" si="0"/>
        <v>4</v>
      </c>
      <c r="C6" s="200">
        <f>IF(ISERROR(IF(ISERROR(INDEX(Results!$B$2:$Z$51,MATCH(RankPoints!C$2&amp;RankPoints!$B5,Results!$O$2:$O$51,0),24)),INDEX(Results!$B$2:$Z$51,MATCH(RankPoints!C$2&amp;RankPoints!$B5,Results!$P$2:$P$51,0),25),INDEX(Results!$B$2:$Z$51,MATCH(RankPoints!C$2&amp;RankPoints!$B5,Results!$O$2:$O$51,0),24))),C5,IF(ISERROR(INDEX(Results!$B$2:$Z$51,MATCH(RankPoints!C$2&amp;RankPoints!$B5,Results!$O$2:$O$51,0),24)),INDEX(Results!$B$2:$Z$51,MATCH(RankPoints!C$2&amp;RankPoints!$B5,Results!$P$2:$P$51,0),25),INDEX(Results!$B$2:$Z$51,MATCH(RankPoints!C$2&amp;RankPoints!$B5,Results!$O$2:$O$51,0),24)))</f>
        <v>1549</v>
      </c>
      <c r="D6" s="200">
        <f>IF(ISERROR(IF(ISERROR(INDEX(Results!$B$2:$Z$51,MATCH(RankPoints!D$2&amp;RankPoints!$B5,Results!$O$2:$O$51,0),24)),INDEX(Results!$B$2:$Z$51,MATCH(RankPoints!D$2&amp;RankPoints!$B5,Results!$P$2:$P$51,0),25),INDEX(Results!$B$2:$Z$51,MATCH(RankPoints!D$2&amp;RankPoints!$B5,Results!$O$2:$O$51,0),24))),D5,IF(ISERROR(INDEX(Results!$B$2:$Z$51,MATCH(RankPoints!D$2&amp;RankPoints!$B5,Results!$O$2:$O$51,0),24)),INDEX(Results!$B$2:$Z$51,MATCH(RankPoints!D$2&amp;RankPoints!$B5,Results!$P$2:$P$51,0),25),INDEX(Results!$B$2:$Z$51,MATCH(RankPoints!D$2&amp;RankPoints!$B5,Results!$O$2:$O$51,0),24)))</f>
        <v>1551</v>
      </c>
      <c r="E6" s="200">
        <f>IF(ISERROR(IF(ISERROR(INDEX(Results!$B$2:$Z$51,MATCH(RankPoints!E$2&amp;RankPoints!$B5,Results!$O$2:$O$51,0),24)),INDEX(Results!$B$2:$Z$51,MATCH(RankPoints!E$2&amp;RankPoints!$B5,Results!$P$2:$P$51,0),25),INDEX(Results!$B$2:$Z$51,MATCH(RankPoints!E$2&amp;RankPoints!$B5,Results!$O$2:$O$51,0),24))),E5,IF(ISERROR(INDEX(Results!$B$2:$Z$51,MATCH(RankPoints!E$2&amp;RankPoints!$B5,Results!$O$2:$O$51,0),24)),INDEX(Results!$B$2:$Z$51,MATCH(RankPoints!E$2&amp;RankPoints!$B5,Results!$P$2:$P$51,0),25),INDEX(Results!$B$2:$Z$51,MATCH(RankPoints!E$2&amp;RankPoints!$B5,Results!$O$2:$O$51,0),24)))</f>
        <v>1518</v>
      </c>
      <c r="F6" s="200">
        <f>IF(ISERROR(IF(ISERROR(INDEX(Results!$B$2:$Z$51,MATCH(RankPoints!F$2&amp;RankPoints!$B5,Results!$O$2:$O$51,0),24)),INDEX(Results!$B$2:$Z$51,MATCH(RankPoints!F$2&amp;RankPoints!$B5,Results!$P$2:$P$51,0),25),INDEX(Results!$B$2:$Z$51,MATCH(RankPoints!F$2&amp;RankPoints!$B5,Results!$O$2:$O$51,0),24))),F5,IF(ISERROR(INDEX(Results!$B$2:$Z$51,MATCH(RankPoints!F$2&amp;RankPoints!$B5,Results!$O$2:$O$51,0),24)),INDEX(Results!$B$2:$Z$51,MATCH(RankPoints!F$2&amp;RankPoints!$B5,Results!$P$2:$P$51,0),25),INDEX(Results!$B$2:$Z$51,MATCH(RankPoints!F$2&amp;RankPoints!$B5,Results!$O$2:$O$51,0),24)))</f>
        <v>1483</v>
      </c>
      <c r="G6" s="200">
        <f>IF(ISERROR(IF(ISERROR(INDEX(Results!$B$2:$Z$51,MATCH(RankPoints!G$2&amp;RankPoints!$B5,Results!$O$2:$O$51,0),24)),INDEX(Results!$B$2:$Z$51,MATCH(RankPoints!G$2&amp;RankPoints!$B5,Results!$P$2:$P$51,0),25),INDEX(Results!$B$2:$Z$51,MATCH(RankPoints!G$2&amp;RankPoints!$B5,Results!$O$2:$O$51,0),24))),G5,IF(ISERROR(INDEX(Results!$B$2:$Z$51,MATCH(RankPoints!G$2&amp;RankPoints!$B5,Results!$O$2:$O$51,0),24)),INDEX(Results!$B$2:$Z$51,MATCH(RankPoints!G$2&amp;RankPoints!$B5,Results!$P$2:$P$51,0),25),INDEX(Results!$B$2:$Z$51,MATCH(RankPoints!G$2&amp;RankPoints!$B5,Results!$O$2:$O$51,0),24)))</f>
        <v>1451</v>
      </c>
      <c r="H6" s="200">
        <f>IF(ISERROR(IF(ISERROR(INDEX(Results!$B$2:$Z$51,MATCH(RankPoints!H$2&amp;RankPoints!$B5,Results!$O$2:$O$51,0),24)),INDEX(Results!$B$2:$Z$51,MATCH(RankPoints!H$2&amp;RankPoints!$B5,Results!$P$2:$P$51,0),25),INDEX(Results!$B$2:$Z$51,MATCH(RankPoints!H$2&amp;RankPoints!$B5,Results!$O$2:$O$51,0),24))),H5,IF(ISERROR(INDEX(Results!$B$2:$Z$51,MATCH(RankPoints!H$2&amp;RankPoints!$B5,Results!$O$2:$O$51,0),24)),INDEX(Results!$B$2:$Z$51,MATCH(RankPoints!H$2&amp;RankPoints!$B5,Results!$P$2:$P$51,0),25),INDEX(Results!$B$2:$Z$51,MATCH(RankPoints!H$2&amp;RankPoints!$B5,Results!$O$2:$O$51,0),24)))</f>
        <v>1449</v>
      </c>
      <c r="I6" s="200">
        <f>IF(ISERROR(IF(ISERROR(INDEX(Results!$B$2:$Z$51,MATCH(RankPoints!I$2&amp;RankPoints!$B5,Results!$O$2:$O$51,0),24)),INDEX(Results!$B$2:$Z$51,MATCH(RankPoints!I$2&amp;RankPoints!$B5,Results!$P$2:$P$51,0),25),INDEX(Results!$B$2:$Z$51,MATCH(RankPoints!I$2&amp;RankPoints!$B5,Results!$O$2:$O$51,0),24))),I5,IF(ISERROR(INDEX(Results!$B$2:$Z$51,MATCH(RankPoints!I$2&amp;RankPoints!$B5,Results!$O$2:$O$51,0),24)),INDEX(Results!$B$2:$Z$51,MATCH(RankPoints!I$2&amp;RankPoints!$B5,Results!$P$2:$P$51,0),25),INDEX(Results!$B$2:$Z$51,MATCH(RankPoints!I$2&amp;RankPoints!$B5,Results!$O$2:$O$51,0),24)))</f>
        <v>1482</v>
      </c>
      <c r="J6" s="200">
        <f>IF(ISERROR(IF(ISERROR(INDEX(Results!$B$2:$Z$51,MATCH(RankPoints!J$2&amp;RankPoints!$B5,Results!$O$2:$O$51,0),24)),INDEX(Results!$B$2:$Z$51,MATCH(RankPoints!J$2&amp;RankPoints!$B5,Results!$P$2:$P$51,0),25),INDEX(Results!$B$2:$Z$51,MATCH(RankPoints!J$2&amp;RankPoints!$B5,Results!$O$2:$O$51,0),24))),J5,IF(ISERROR(INDEX(Results!$B$2:$Z$51,MATCH(RankPoints!J$2&amp;RankPoints!$B5,Results!$O$2:$O$51,0),24)),INDEX(Results!$B$2:$Z$51,MATCH(RankPoints!J$2&amp;RankPoints!$B5,Results!$P$2:$P$51,0),25),INDEX(Results!$B$2:$Z$51,MATCH(RankPoints!J$2&amp;RankPoints!$B5,Results!$O$2:$O$51,0),24)))</f>
        <v>1517</v>
      </c>
      <c r="K6" s="200">
        <f>IF(ISERROR(IF(ISERROR(INDEX(Results!$B$2:$Z$51,MATCH(RankPoints!K$2&amp;RankPoints!$B5,Results!$O$2:$O$51,0),24)),INDEX(Results!$B$2:$Z$51,MATCH(RankPoints!K$2&amp;RankPoints!$B5,Results!$P$2:$P$51,0),25),INDEX(Results!$B$2:$Z$51,MATCH(RankPoints!K$2&amp;RankPoints!$B5,Results!$O$2:$O$51,0),24))),K5,IF(ISERROR(INDEX(Results!$B$2:$Z$51,MATCH(RankPoints!K$2&amp;RankPoints!$B5,Results!$O$2:$O$51,0),24)),INDEX(Results!$B$2:$Z$51,MATCH(RankPoints!K$2&amp;RankPoints!$B5,Results!$P$2:$P$51,0),25),INDEX(Results!$B$2:$Z$51,MATCH(RankPoints!K$2&amp;RankPoints!$B5,Results!$O$2:$O$51,0),24)))</f>
        <v>1449</v>
      </c>
      <c r="L6" s="201">
        <f>IF(ISERROR(IF(ISERROR(INDEX(Results!$B$2:$Z$51,MATCH(RankPoints!L$2&amp;RankPoints!$B5,Results!$O$2:$O$51,0),24)),INDEX(Results!$B$2:$Z$51,MATCH(RankPoints!L$2&amp;RankPoints!$B5,Results!$P$2:$P$51,0),25),INDEX(Results!$B$2:$Z$51,MATCH(RankPoints!L$2&amp;RankPoints!$B5,Results!$O$2:$O$51,0),24))),L5,IF(ISERROR(INDEX(Results!$B$2:$Z$51,MATCH(RankPoints!L$2&amp;RankPoints!$B5,Results!$O$2:$O$51,0),24)),INDEX(Results!$B$2:$Z$51,MATCH(RankPoints!L$2&amp;RankPoints!$B5,Results!$P$2:$P$51,0),25),INDEX(Results!$B$2:$Z$51,MATCH(RankPoints!L$2&amp;RankPoints!$B5,Results!$O$2:$O$51,0),24)))</f>
        <v>1551</v>
      </c>
    </row>
    <row r="7" spans="2:12" ht="12.75">
      <c r="B7" s="198">
        <f t="shared" si="0"/>
        <v>5</v>
      </c>
      <c r="C7" s="200">
        <f>IF(ISERROR(IF(ISERROR(INDEX(Results!$B$2:$Z$51,MATCH(RankPoints!C$2&amp;RankPoints!$B6,Results!$O$2:$O$51,0),24)),INDEX(Results!$B$2:$Z$51,MATCH(RankPoints!C$2&amp;RankPoints!$B6,Results!$P$2:$P$51,0),25),INDEX(Results!$B$2:$Z$51,MATCH(RankPoints!C$2&amp;RankPoints!$B6,Results!$O$2:$O$51,0),24))),C6,IF(ISERROR(INDEX(Results!$B$2:$Z$51,MATCH(RankPoints!C$2&amp;RankPoints!$B6,Results!$O$2:$O$51,0),24)),INDEX(Results!$B$2:$Z$51,MATCH(RankPoints!C$2&amp;RankPoints!$B6,Results!$P$2:$P$51,0),25),INDEX(Results!$B$2:$Z$51,MATCH(RankPoints!C$2&amp;RankPoints!$B6,Results!$O$2:$O$51,0),24)))</f>
        <v>1565</v>
      </c>
      <c r="D7" s="200">
        <f>IF(ISERROR(IF(ISERROR(INDEX(Results!$B$2:$Z$51,MATCH(RankPoints!D$2&amp;RankPoints!$B6,Results!$O$2:$O$51,0),24)),INDEX(Results!$B$2:$Z$51,MATCH(RankPoints!D$2&amp;RankPoints!$B6,Results!$P$2:$P$51,0),25),INDEX(Results!$B$2:$Z$51,MATCH(RankPoints!D$2&amp;RankPoints!$B6,Results!$O$2:$O$51,0),24))),D6,IF(ISERROR(INDEX(Results!$B$2:$Z$51,MATCH(RankPoints!D$2&amp;RankPoints!$B6,Results!$O$2:$O$51,0),24)),INDEX(Results!$B$2:$Z$51,MATCH(RankPoints!D$2&amp;RankPoints!$B6,Results!$P$2:$P$51,0),25),INDEX(Results!$B$2:$Z$51,MATCH(RankPoints!D$2&amp;RankPoints!$B6,Results!$O$2:$O$51,0),24)))</f>
        <v>1570</v>
      </c>
      <c r="E7" s="200">
        <f>IF(ISERROR(IF(ISERROR(INDEX(Results!$B$2:$Z$51,MATCH(RankPoints!E$2&amp;RankPoints!$B6,Results!$O$2:$O$51,0),24)),INDEX(Results!$B$2:$Z$51,MATCH(RankPoints!E$2&amp;RankPoints!$B6,Results!$P$2:$P$51,0),25),INDEX(Results!$B$2:$Z$51,MATCH(RankPoints!E$2&amp;RankPoints!$B6,Results!$O$2:$O$51,0),24))),E6,IF(ISERROR(INDEX(Results!$B$2:$Z$51,MATCH(RankPoints!E$2&amp;RankPoints!$B6,Results!$O$2:$O$51,0),24)),INDEX(Results!$B$2:$Z$51,MATCH(RankPoints!E$2&amp;RankPoints!$B6,Results!$P$2:$P$51,0),25),INDEX(Results!$B$2:$Z$51,MATCH(RankPoints!E$2&amp;RankPoints!$B6,Results!$O$2:$O$51,0),24)))</f>
        <v>1537</v>
      </c>
      <c r="F7" s="200">
        <f>IF(ISERROR(IF(ISERROR(INDEX(Results!$B$2:$Z$51,MATCH(RankPoints!F$2&amp;RankPoints!$B6,Results!$O$2:$O$51,0),24)),INDEX(Results!$B$2:$Z$51,MATCH(RankPoints!F$2&amp;RankPoints!$B6,Results!$P$2:$P$51,0),25),INDEX(Results!$B$2:$Z$51,MATCH(RankPoints!F$2&amp;RankPoints!$B6,Results!$O$2:$O$51,0),24))),F6,IF(ISERROR(INDEX(Results!$B$2:$Z$51,MATCH(RankPoints!F$2&amp;RankPoints!$B6,Results!$O$2:$O$51,0),24)),INDEX(Results!$B$2:$Z$51,MATCH(RankPoints!F$2&amp;RankPoints!$B6,Results!$P$2:$P$51,0),25),INDEX(Results!$B$2:$Z$51,MATCH(RankPoints!F$2&amp;RankPoints!$B6,Results!$O$2:$O$51,0),24)))</f>
        <v>1464</v>
      </c>
      <c r="G7" s="200">
        <f>IF(ISERROR(IF(ISERROR(INDEX(Results!$B$2:$Z$51,MATCH(RankPoints!G$2&amp;RankPoints!$B6,Results!$O$2:$O$51,0),24)),INDEX(Results!$B$2:$Z$51,MATCH(RankPoints!G$2&amp;RankPoints!$B6,Results!$P$2:$P$51,0),25),INDEX(Results!$B$2:$Z$51,MATCH(RankPoints!G$2&amp;RankPoints!$B6,Results!$O$2:$O$51,0),24))),G6,IF(ISERROR(INDEX(Results!$B$2:$Z$51,MATCH(RankPoints!G$2&amp;RankPoints!$B6,Results!$O$2:$O$51,0),24)),INDEX(Results!$B$2:$Z$51,MATCH(RankPoints!G$2&amp;RankPoints!$B6,Results!$P$2:$P$51,0),25),INDEX(Results!$B$2:$Z$51,MATCH(RankPoints!G$2&amp;RankPoints!$B6,Results!$O$2:$O$51,0),24)))</f>
        <v>1432</v>
      </c>
      <c r="H7" s="200">
        <f>IF(ISERROR(IF(ISERROR(INDEX(Results!$B$2:$Z$51,MATCH(RankPoints!H$2&amp;RankPoints!$B6,Results!$O$2:$O$51,0),24)),INDEX(Results!$B$2:$Z$51,MATCH(RankPoints!H$2&amp;RankPoints!$B6,Results!$P$2:$P$51,0),25),INDEX(Results!$B$2:$Z$51,MATCH(RankPoints!H$2&amp;RankPoints!$B6,Results!$O$2:$O$51,0),24))),H6,IF(ISERROR(INDEX(Results!$B$2:$Z$51,MATCH(RankPoints!H$2&amp;RankPoints!$B6,Results!$O$2:$O$51,0),24)),INDEX(Results!$B$2:$Z$51,MATCH(RankPoints!H$2&amp;RankPoints!$B6,Results!$P$2:$P$51,0),25),INDEX(Results!$B$2:$Z$51,MATCH(RankPoints!H$2&amp;RankPoints!$B6,Results!$O$2:$O$51,0),24)))</f>
        <v>1433</v>
      </c>
      <c r="I7" s="200">
        <f>IF(ISERROR(IF(ISERROR(INDEX(Results!$B$2:$Z$51,MATCH(RankPoints!I$2&amp;RankPoints!$B6,Results!$O$2:$O$51,0),24)),INDEX(Results!$B$2:$Z$51,MATCH(RankPoints!I$2&amp;RankPoints!$B6,Results!$P$2:$P$51,0),25),INDEX(Results!$B$2:$Z$51,MATCH(RankPoints!I$2&amp;RankPoints!$B6,Results!$O$2:$O$51,0),24))),I6,IF(ISERROR(INDEX(Results!$B$2:$Z$51,MATCH(RankPoints!I$2&amp;RankPoints!$B6,Results!$O$2:$O$51,0),24)),INDEX(Results!$B$2:$Z$51,MATCH(RankPoints!I$2&amp;RankPoints!$B6,Results!$P$2:$P$51,0),25),INDEX(Results!$B$2:$Z$51,MATCH(RankPoints!I$2&amp;RankPoints!$B6,Results!$O$2:$O$51,0),24)))</f>
        <v>1464</v>
      </c>
      <c r="J7" s="200">
        <f>IF(ISERROR(IF(ISERROR(INDEX(Results!$B$2:$Z$51,MATCH(RankPoints!J$2&amp;RankPoints!$B6,Results!$O$2:$O$51,0),24)),INDEX(Results!$B$2:$Z$51,MATCH(RankPoints!J$2&amp;RankPoints!$B6,Results!$P$2:$P$51,0),25),INDEX(Results!$B$2:$Z$51,MATCH(RankPoints!J$2&amp;RankPoints!$B6,Results!$O$2:$O$51,0),24))),J6,IF(ISERROR(INDEX(Results!$B$2:$Z$51,MATCH(RankPoints!J$2&amp;RankPoints!$B6,Results!$O$2:$O$51,0),24)),INDEX(Results!$B$2:$Z$51,MATCH(RankPoints!J$2&amp;RankPoints!$B6,Results!$P$2:$P$51,0),25),INDEX(Results!$B$2:$Z$51,MATCH(RankPoints!J$2&amp;RankPoints!$B6,Results!$O$2:$O$51,0),24)))</f>
        <v>1535</v>
      </c>
      <c r="K7" s="200">
        <f>IF(ISERROR(IF(ISERROR(INDEX(Results!$B$2:$Z$51,MATCH(RankPoints!K$2&amp;RankPoints!$B6,Results!$O$2:$O$51,0),24)),INDEX(Results!$B$2:$Z$51,MATCH(RankPoints!K$2&amp;RankPoints!$B6,Results!$P$2:$P$51,0),25),INDEX(Results!$B$2:$Z$51,MATCH(RankPoints!K$2&amp;RankPoints!$B6,Results!$O$2:$O$51,0),24))),K6,IF(ISERROR(INDEX(Results!$B$2:$Z$51,MATCH(RankPoints!K$2&amp;RankPoints!$B6,Results!$O$2:$O$51,0),24)),INDEX(Results!$B$2:$Z$51,MATCH(RankPoints!K$2&amp;RankPoints!$B6,Results!$P$2:$P$51,0),25),INDEX(Results!$B$2:$Z$51,MATCH(RankPoints!K$2&amp;RankPoints!$B6,Results!$O$2:$O$51,0),24)))</f>
        <v>1465</v>
      </c>
      <c r="L7" s="201">
        <f>IF(ISERROR(IF(ISERROR(INDEX(Results!$B$2:$Z$51,MATCH(RankPoints!L$2&amp;RankPoints!$B6,Results!$O$2:$O$51,0),24)),INDEX(Results!$B$2:$Z$51,MATCH(RankPoints!L$2&amp;RankPoints!$B6,Results!$P$2:$P$51,0),25),INDEX(Results!$B$2:$Z$51,MATCH(RankPoints!L$2&amp;RankPoints!$B6,Results!$O$2:$O$51,0),24))),L6,IF(ISERROR(INDEX(Results!$B$2:$Z$51,MATCH(RankPoints!L$2&amp;RankPoints!$B6,Results!$O$2:$O$51,0),24)),INDEX(Results!$B$2:$Z$51,MATCH(RankPoints!L$2&amp;RankPoints!$B6,Results!$P$2:$P$51,0),25),INDEX(Results!$B$2:$Z$51,MATCH(RankPoints!L$2&amp;RankPoints!$B6,Results!$O$2:$O$51,0),24)))</f>
        <v>1535</v>
      </c>
    </row>
    <row r="8" spans="2:12" ht="12.75">
      <c r="B8" s="198">
        <f t="shared" si="0"/>
        <v>6</v>
      </c>
      <c r="C8" s="200">
        <f>IF(ISERROR(IF(ISERROR(INDEX(Results!$B$2:$Z$51,MATCH(RankPoints!C$2&amp;RankPoints!$B7,Results!$O$2:$O$51,0),24)),INDEX(Results!$B$2:$Z$51,MATCH(RankPoints!C$2&amp;RankPoints!$B7,Results!$P$2:$P$51,0),25),INDEX(Results!$B$2:$Z$51,MATCH(RankPoints!C$2&amp;RankPoints!$B7,Results!$O$2:$O$51,0),24))),C7,IF(ISERROR(INDEX(Results!$B$2:$Z$51,MATCH(RankPoints!C$2&amp;RankPoints!$B7,Results!$O$2:$O$51,0),24)),INDEX(Results!$B$2:$Z$51,MATCH(RankPoints!C$2&amp;RankPoints!$B7,Results!$P$2:$P$51,0),25),INDEX(Results!$B$2:$Z$51,MATCH(RankPoints!C$2&amp;RankPoints!$B7,Results!$O$2:$O$51,0),24)))</f>
        <v>1585</v>
      </c>
      <c r="D8" s="200">
        <f>IF(ISERROR(IF(ISERROR(INDEX(Results!$B$2:$Z$51,MATCH(RankPoints!D$2&amp;RankPoints!$B7,Results!$O$2:$O$51,0),24)),INDEX(Results!$B$2:$Z$51,MATCH(RankPoints!D$2&amp;RankPoints!$B7,Results!$P$2:$P$51,0),25),INDEX(Results!$B$2:$Z$51,MATCH(RankPoints!D$2&amp;RankPoints!$B7,Results!$O$2:$O$51,0),24))),D7,IF(ISERROR(INDEX(Results!$B$2:$Z$51,MATCH(RankPoints!D$2&amp;RankPoints!$B7,Results!$O$2:$O$51,0),24)),INDEX(Results!$B$2:$Z$51,MATCH(RankPoints!D$2&amp;RankPoints!$B7,Results!$P$2:$P$51,0),25),INDEX(Results!$B$2:$Z$51,MATCH(RankPoints!D$2&amp;RankPoints!$B7,Results!$O$2:$O$51,0),24)))</f>
        <v>1592</v>
      </c>
      <c r="E8" s="200">
        <f>IF(ISERROR(IF(ISERROR(INDEX(Results!$B$2:$Z$51,MATCH(RankPoints!E$2&amp;RankPoints!$B7,Results!$O$2:$O$51,0),24)),INDEX(Results!$B$2:$Z$51,MATCH(RankPoints!E$2&amp;RankPoints!$B7,Results!$P$2:$P$51,0),25),INDEX(Results!$B$2:$Z$51,MATCH(RankPoints!E$2&amp;RankPoints!$B7,Results!$O$2:$O$51,0),24))),E7,IF(ISERROR(INDEX(Results!$B$2:$Z$51,MATCH(RankPoints!E$2&amp;RankPoints!$B7,Results!$O$2:$O$51,0),24)),INDEX(Results!$B$2:$Z$51,MATCH(RankPoints!E$2&amp;RankPoints!$B7,Results!$P$2:$P$51,0),25),INDEX(Results!$B$2:$Z$51,MATCH(RankPoints!E$2&amp;RankPoints!$B7,Results!$O$2:$O$51,0),24)))</f>
        <v>1521</v>
      </c>
      <c r="F8" s="200">
        <f>IF(ISERROR(IF(ISERROR(INDEX(Results!$B$2:$Z$51,MATCH(RankPoints!F$2&amp;RankPoints!$B7,Results!$O$2:$O$51,0),24)),INDEX(Results!$B$2:$Z$51,MATCH(RankPoints!F$2&amp;RankPoints!$B7,Results!$P$2:$P$51,0),25),INDEX(Results!$B$2:$Z$51,MATCH(RankPoints!F$2&amp;RankPoints!$B7,Results!$O$2:$O$51,0),24))),F7,IF(ISERROR(INDEX(Results!$B$2:$Z$51,MATCH(RankPoints!F$2&amp;RankPoints!$B7,Results!$O$2:$O$51,0),24)),INDEX(Results!$B$2:$Z$51,MATCH(RankPoints!F$2&amp;RankPoints!$B7,Results!$P$2:$P$51,0),25),INDEX(Results!$B$2:$Z$51,MATCH(RankPoints!F$2&amp;RankPoints!$B7,Results!$O$2:$O$51,0),24)))</f>
        <v>1445</v>
      </c>
      <c r="G8" s="200">
        <f>IF(ISERROR(IF(ISERROR(INDEX(Results!$B$2:$Z$51,MATCH(RankPoints!G$2&amp;RankPoints!$B7,Results!$O$2:$O$51,0),24)),INDEX(Results!$B$2:$Z$51,MATCH(RankPoints!G$2&amp;RankPoints!$B7,Results!$P$2:$P$51,0),25),INDEX(Results!$B$2:$Z$51,MATCH(RankPoints!G$2&amp;RankPoints!$B7,Results!$O$2:$O$51,0),24))),G7,IF(ISERROR(INDEX(Results!$B$2:$Z$51,MATCH(RankPoints!G$2&amp;RankPoints!$B7,Results!$O$2:$O$51,0),24)),INDEX(Results!$B$2:$Z$51,MATCH(RankPoints!G$2&amp;RankPoints!$B7,Results!$P$2:$P$51,0),25),INDEX(Results!$B$2:$Z$51,MATCH(RankPoints!G$2&amp;RankPoints!$B7,Results!$O$2:$O$51,0),24)))</f>
        <v>1447</v>
      </c>
      <c r="H8" s="200">
        <f>IF(ISERROR(IF(ISERROR(INDEX(Results!$B$2:$Z$51,MATCH(RankPoints!H$2&amp;RankPoints!$B7,Results!$O$2:$O$51,0),24)),INDEX(Results!$B$2:$Z$51,MATCH(RankPoints!H$2&amp;RankPoints!$B7,Results!$P$2:$P$51,0),25),INDEX(Results!$B$2:$Z$51,MATCH(RankPoints!H$2&amp;RankPoints!$B7,Results!$O$2:$O$51,0),24))),H7,IF(ISERROR(INDEX(Results!$B$2:$Z$51,MATCH(RankPoints!H$2&amp;RankPoints!$B7,Results!$O$2:$O$51,0),24)),INDEX(Results!$B$2:$Z$51,MATCH(RankPoints!H$2&amp;RankPoints!$B7,Results!$P$2:$P$51,0),25),INDEX(Results!$B$2:$Z$51,MATCH(RankPoints!H$2&amp;RankPoints!$B7,Results!$O$2:$O$51,0),24)))</f>
        <v>1411</v>
      </c>
      <c r="I8" s="200">
        <f>IF(ISERROR(IF(ISERROR(INDEX(Results!$B$2:$Z$51,MATCH(RankPoints!I$2&amp;RankPoints!$B7,Results!$O$2:$O$51,0),24)),INDEX(Results!$B$2:$Z$51,MATCH(RankPoints!I$2&amp;RankPoints!$B7,Results!$P$2:$P$51,0),25),INDEX(Results!$B$2:$Z$51,MATCH(RankPoints!I$2&amp;RankPoints!$B7,Results!$O$2:$O$51,0),24))),I7,IF(ISERROR(INDEX(Results!$B$2:$Z$51,MATCH(RankPoints!I$2&amp;RankPoints!$B7,Results!$O$2:$O$51,0),24)),INDEX(Results!$B$2:$Z$51,MATCH(RankPoints!I$2&amp;RankPoints!$B7,Results!$P$2:$P$51,0),25),INDEX(Results!$B$2:$Z$51,MATCH(RankPoints!I$2&amp;RankPoints!$B7,Results!$O$2:$O$51,0),24)))</f>
        <v>1449</v>
      </c>
      <c r="J8" s="200">
        <f>IF(ISERROR(IF(ISERROR(INDEX(Results!$B$2:$Z$51,MATCH(RankPoints!J$2&amp;RankPoints!$B7,Results!$O$2:$O$51,0),24)),INDEX(Results!$B$2:$Z$51,MATCH(RankPoints!J$2&amp;RankPoints!$B7,Results!$P$2:$P$51,0),25),INDEX(Results!$B$2:$Z$51,MATCH(RankPoints!J$2&amp;RankPoints!$B7,Results!$O$2:$O$51,0),24))),J7,IF(ISERROR(INDEX(Results!$B$2:$Z$51,MATCH(RankPoints!J$2&amp;RankPoints!$B7,Results!$O$2:$O$51,0),24)),INDEX(Results!$B$2:$Z$51,MATCH(RankPoints!J$2&amp;RankPoints!$B7,Results!$P$2:$P$51,0),25),INDEX(Results!$B$2:$Z$51,MATCH(RankPoints!J$2&amp;RankPoints!$B7,Results!$O$2:$O$51,0),24)))</f>
        <v>1551</v>
      </c>
      <c r="K8" s="200">
        <f>IF(ISERROR(IF(ISERROR(INDEX(Results!$B$2:$Z$51,MATCH(RankPoints!K$2&amp;RankPoints!$B7,Results!$O$2:$O$51,0),24)),INDEX(Results!$B$2:$Z$51,MATCH(RankPoints!K$2&amp;RankPoints!$B7,Results!$P$2:$P$51,0),25),INDEX(Results!$B$2:$Z$51,MATCH(RankPoints!K$2&amp;RankPoints!$B7,Results!$O$2:$O$51,0),24))),K7,IF(ISERROR(INDEX(Results!$B$2:$Z$51,MATCH(RankPoints!K$2&amp;RankPoints!$B7,Results!$O$2:$O$51,0),24)),INDEX(Results!$B$2:$Z$51,MATCH(RankPoints!K$2&amp;RankPoints!$B7,Results!$P$2:$P$51,0),25),INDEX(Results!$B$2:$Z$51,MATCH(RankPoints!K$2&amp;RankPoints!$B7,Results!$O$2:$O$51,0),24)))</f>
        <v>1445</v>
      </c>
      <c r="L8" s="201">
        <f>IF(ISERROR(IF(ISERROR(INDEX(Results!$B$2:$Z$51,MATCH(RankPoints!L$2&amp;RankPoints!$B7,Results!$O$2:$O$51,0),24)),INDEX(Results!$B$2:$Z$51,MATCH(RankPoints!L$2&amp;RankPoints!$B7,Results!$P$2:$P$51,0),25),INDEX(Results!$B$2:$Z$51,MATCH(RankPoints!L$2&amp;RankPoints!$B7,Results!$O$2:$O$51,0),24))),L7,IF(ISERROR(INDEX(Results!$B$2:$Z$51,MATCH(RankPoints!L$2&amp;RankPoints!$B7,Results!$O$2:$O$51,0),24)),INDEX(Results!$B$2:$Z$51,MATCH(RankPoints!L$2&amp;RankPoints!$B7,Results!$P$2:$P$51,0),25),INDEX(Results!$B$2:$Z$51,MATCH(RankPoints!L$2&amp;RankPoints!$B7,Results!$O$2:$O$51,0),24)))</f>
        <v>1554</v>
      </c>
    </row>
    <row r="9" spans="2:12" ht="12.75">
      <c r="B9" s="198">
        <f t="shared" si="0"/>
        <v>7</v>
      </c>
      <c r="C9" s="200">
        <f>IF(ISERROR(IF(ISERROR(INDEX(Results!$B$2:$Z$51,MATCH(RankPoints!C$2&amp;RankPoints!$B8,Results!$O$2:$O$51,0),24)),INDEX(Results!$B$2:$Z$51,MATCH(RankPoints!C$2&amp;RankPoints!$B8,Results!$P$2:$P$51,0),25),INDEX(Results!$B$2:$Z$51,MATCH(RankPoints!C$2&amp;RankPoints!$B8,Results!$O$2:$O$51,0),24))),C8,IF(ISERROR(INDEX(Results!$B$2:$Z$51,MATCH(RankPoints!C$2&amp;RankPoints!$B8,Results!$O$2:$O$51,0),24)),INDEX(Results!$B$2:$Z$51,MATCH(RankPoints!C$2&amp;RankPoints!$B8,Results!$P$2:$P$51,0),25),INDEX(Results!$B$2:$Z$51,MATCH(RankPoints!C$2&amp;RankPoints!$B8,Results!$O$2:$O$51,0),24)))</f>
        <v>1607</v>
      </c>
      <c r="D9" s="200">
        <f>IF(ISERROR(IF(ISERROR(INDEX(Results!$B$2:$Z$51,MATCH(RankPoints!D$2&amp;RankPoints!$B8,Results!$O$2:$O$51,0),24)),INDEX(Results!$B$2:$Z$51,MATCH(RankPoints!D$2&amp;RankPoints!$B8,Results!$P$2:$P$51,0),25),INDEX(Results!$B$2:$Z$51,MATCH(RankPoints!D$2&amp;RankPoints!$B8,Results!$O$2:$O$51,0),24))),D8,IF(ISERROR(INDEX(Results!$B$2:$Z$51,MATCH(RankPoints!D$2&amp;RankPoints!$B8,Results!$O$2:$O$51,0),24)),INDEX(Results!$B$2:$Z$51,MATCH(RankPoints!D$2&amp;RankPoints!$B8,Results!$P$2:$P$51,0),25),INDEX(Results!$B$2:$Z$51,MATCH(RankPoints!D$2&amp;RankPoints!$B8,Results!$O$2:$O$51,0),24)))</f>
        <v>1579</v>
      </c>
      <c r="E9" s="200">
        <f>IF(ISERROR(IF(ISERROR(INDEX(Results!$B$2:$Z$51,MATCH(RankPoints!E$2&amp;RankPoints!$B8,Results!$O$2:$O$51,0),24)),INDEX(Results!$B$2:$Z$51,MATCH(RankPoints!E$2&amp;RankPoints!$B8,Results!$P$2:$P$51,0),25),INDEX(Results!$B$2:$Z$51,MATCH(RankPoints!E$2&amp;RankPoints!$B8,Results!$O$2:$O$51,0),24))),E8,IF(ISERROR(INDEX(Results!$B$2:$Z$51,MATCH(RankPoints!E$2&amp;RankPoints!$B8,Results!$O$2:$O$51,0),24)),INDEX(Results!$B$2:$Z$51,MATCH(RankPoints!E$2&amp;RankPoints!$B8,Results!$P$2:$P$51,0),25),INDEX(Results!$B$2:$Z$51,MATCH(RankPoints!E$2&amp;RankPoints!$B8,Results!$O$2:$O$51,0),24)))</f>
        <v>1534</v>
      </c>
      <c r="F9" s="200">
        <f>IF(ISERROR(IF(ISERROR(INDEX(Results!$B$2:$Z$51,MATCH(RankPoints!F$2&amp;RankPoints!$B8,Results!$O$2:$O$51,0),24)),INDEX(Results!$B$2:$Z$51,MATCH(RankPoints!F$2&amp;RankPoints!$B8,Results!$P$2:$P$51,0),25),INDEX(Results!$B$2:$Z$51,MATCH(RankPoints!F$2&amp;RankPoints!$B8,Results!$O$2:$O$51,0),24))),F8,IF(ISERROR(INDEX(Results!$B$2:$Z$51,MATCH(RankPoints!F$2&amp;RankPoints!$B8,Results!$O$2:$O$51,0),24)),INDEX(Results!$B$2:$Z$51,MATCH(RankPoints!F$2&amp;RankPoints!$B8,Results!$P$2:$P$51,0),25),INDEX(Results!$B$2:$Z$51,MATCH(RankPoints!F$2&amp;RankPoints!$B8,Results!$O$2:$O$51,0),24)))</f>
        <v>1429</v>
      </c>
      <c r="G9" s="200">
        <f>IF(ISERROR(IF(ISERROR(INDEX(Results!$B$2:$Z$51,MATCH(RankPoints!G$2&amp;RankPoints!$B8,Results!$O$2:$O$51,0),24)),INDEX(Results!$B$2:$Z$51,MATCH(RankPoints!G$2&amp;RankPoints!$B8,Results!$P$2:$P$51,0),25),INDEX(Results!$B$2:$Z$51,MATCH(RankPoints!G$2&amp;RankPoints!$B8,Results!$O$2:$O$51,0),24))),G8,IF(ISERROR(INDEX(Results!$B$2:$Z$51,MATCH(RankPoints!G$2&amp;RankPoints!$B8,Results!$O$2:$O$51,0),24)),INDEX(Results!$B$2:$Z$51,MATCH(RankPoints!G$2&amp;RankPoints!$B8,Results!$P$2:$P$51,0),25),INDEX(Results!$B$2:$Z$51,MATCH(RankPoints!G$2&amp;RankPoints!$B8,Results!$O$2:$O$51,0),24)))</f>
        <v>1426</v>
      </c>
      <c r="H9" s="200">
        <f>IF(ISERROR(IF(ISERROR(INDEX(Results!$B$2:$Z$51,MATCH(RankPoints!H$2&amp;RankPoints!$B8,Results!$O$2:$O$51,0),24)),INDEX(Results!$B$2:$Z$51,MATCH(RankPoints!H$2&amp;RankPoints!$B8,Results!$P$2:$P$51,0),25),INDEX(Results!$B$2:$Z$51,MATCH(RankPoints!H$2&amp;RankPoints!$B8,Results!$O$2:$O$51,0),24))),H8,IF(ISERROR(INDEX(Results!$B$2:$Z$51,MATCH(RankPoints!H$2&amp;RankPoints!$B8,Results!$O$2:$O$51,0),24)),INDEX(Results!$B$2:$Z$51,MATCH(RankPoints!H$2&amp;RankPoints!$B8,Results!$P$2:$P$51,0),25),INDEX(Results!$B$2:$Z$51,MATCH(RankPoints!H$2&amp;RankPoints!$B8,Results!$O$2:$O$51,0),24)))</f>
        <v>1389</v>
      </c>
      <c r="I9" s="200">
        <f>IF(ISERROR(IF(ISERROR(INDEX(Results!$B$2:$Z$51,MATCH(RankPoints!I$2&amp;RankPoints!$B8,Results!$O$2:$O$51,0),24)),INDEX(Results!$B$2:$Z$51,MATCH(RankPoints!I$2&amp;RankPoints!$B8,Results!$P$2:$P$51,0),25),INDEX(Results!$B$2:$Z$51,MATCH(RankPoints!I$2&amp;RankPoints!$B8,Results!$O$2:$O$51,0),24))),I8,IF(ISERROR(INDEX(Results!$B$2:$Z$51,MATCH(RankPoints!I$2&amp;RankPoints!$B8,Results!$O$2:$O$51,0),24)),INDEX(Results!$B$2:$Z$51,MATCH(RankPoints!I$2&amp;RankPoints!$B8,Results!$P$2:$P$51,0),25),INDEX(Results!$B$2:$Z$51,MATCH(RankPoints!I$2&amp;RankPoints!$B8,Results!$O$2:$O$51,0),24)))</f>
        <v>1427</v>
      </c>
      <c r="J9" s="200">
        <f>IF(ISERROR(IF(ISERROR(INDEX(Results!$B$2:$Z$51,MATCH(RankPoints!J$2&amp;RankPoints!$B8,Results!$O$2:$O$51,0),24)),INDEX(Results!$B$2:$Z$51,MATCH(RankPoints!J$2&amp;RankPoints!$B8,Results!$P$2:$P$51,0),25),INDEX(Results!$B$2:$Z$51,MATCH(RankPoints!J$2&amp;RankPoints!$B8,Results!$O$2:$O$51,0),24))),J8,IF(ISERROR(INDEX(Results!$B$2:$Z$51,MATCH(RankPoints!J$2&amp;RankPoints!$B8,Results!$O$2:$O$51,0),24)),INDEX(Results!$B$2:$Z$51,MATCH(RankPoints!J$2&amp;RankPoints!$B8,Results!$P$2:$P$51,0),25),INDEX(Results!$B$2:$Z$51,MATCH(RankPoints!J$2&amp;RankPoints!$B8,Results!$O$2:$O$51,0),24)))</f>
        <v>1572</v>
      </c>
      <c r="K9" s="200">
        <f>IF(ISERROR(IF(ISERROR(INDEX(Results!$B$2:$Z$51,MATCH(RankPoints!K$2&amp;RankPoints!$B8,Results!$O$2:$O$51,0),24)),INDEX(Results!$B$2:$Z$51,MATCH(RankPoints!K$2&amp;RankPoints!$B8,Results!$P$2:$P$51,0),25),INDEX(Results!$B$2:$Z$51,MATCH(RankPoints!K$2&amp;RankPoints!$B8,Results!$O$2:$O$51,0),24))),K8,IF(ISERROR(INDEX(Results!$B$2:$Z$51,MATCH(RankPoints!K$2&amp;RankPoints!$B8,Results!$O$2:$O$51,0),24)),INDEX(Results!$B$2:$Z$51,MATCH(RankPoints!K$2&amp;RankPoints!$B8,Results!$P$2:$P$51,0),25),INDEX(Results!$B$2:$Z$51,MATCH(RankPoints!K$2&amp;RankPoints!$B8,Results!$O$2:$O$51,0),24)))</f>
        <v>1461</v>
      </c>
      <c r="L9" s="201">
        <f>IF(ISERROR(IF(ISERROR(INDEX(Results!$B$2:$Z$51,MATCH(RankPoints!L$2&amp;RankPoints!$B8,Results!$O$2:$O$51,0),24)),INDEX(Results!$B$2:$Z$51,MATCH(RankPoints!L$2&amp;RankPoints!$B8,Results!$P$2:$P$51,0),25),INDEX(Results!$B$2:$Z$51,MATCH(RankPoints!L$2&amp;RankPoints!$B8,Results!$O$2:$O$51,0),24))),L8,IF(ISERROR(INDEX(Results!$B$2:$Z$51,MATCH(RankPoints!L$2&amp;RankPoints!$B8,Results!$O$2:$O$51,0),24)),INDEX(Results!$B$2:$Z$51,MATCH(RankPoints!L$2&amp;RankPoints!$B8,Results!$P$2:$P$51,0),25),INDEX(Results!$B$2:$Z$51,MATCH(RankPoints!L$2&amp;RankPoints!$B8,Results!$O$2:$O$51,0),24)))</f>
        <v>1576</v>
      </c>
    </row>
    <row r="10" spans="2:12" ht="12.75">
      <c r="B10" s="198">
        <f t="shared" si="0"/>
        <v>8</v>
      </c>
      <c r="C10" s="200">
        <f>IF(ISERROR(IF(ISERROR(INDEX(Results!$B$2:$Z$51,MATCH(RankPoints!C$2&amp;RankPoints!$B9,Results!$O$2:$O$51,0),24)),INDEX(Results!$B$2:$Z$51,MATCH(RankPoints!C$2&amp;RankPoints!$B9,Results!$P$2:$P$51,0),25),INDEX(Results!$B$2:$Z$51,MATCH(RankPoints!C$2&amp;RankPoints!$B9,Results!$O$2:$O$51,0),24))),C9,IF(ISERROR(INDEX(Results!$B$2:$Z$51,MATCH(RankPoints!C$2&amp;RankPoints!$B9,Results!$O$2:$O$51,0),24)),INDEX(Results!$B$2:$Z$51,MATCH(RankPoints!C$2&amp;RankPoints!$B9,Results!$P$2:$P$51,0),25),INDEX(Results!$B$2:$Z$51,MATCH(RankPoints!C$2&amp;RankPoints!$B9,Results!$O$2:$O$51,0),24)))</f>
        <v>1624</v>
      </c>
      <c r="D10" s="200">
        <f>IF(ISERROR(IF(ISERROR(INDEX(Results!$B$2:$Z$51,MATCH(RankPoints!D$2&amp;RankPoints!$B9,Results!$O$2:$O$51,0),24)),INDEX(Results!$B$2:$Z$51,MATCH(RankPoints!D$2&amp;RankPoints!$B9,Results!$P$2:$P$51,0),25),INDEX(Results!$B$2:$Z$51,MATCH(RankPoints!D$2&amp;RankPoints!$B9,Results!$O$2:$O$51,0),24))),D9,IF(ISERROR(INDEX(Results!$B$2:$Z$51,MATCH(RankPoints!D$2&amp;RankPoints!$B9,Results!$O$2:$O$51,0),24)),INDEX(Results!$B$2:$Z$51,MATCH(RankPoints!D$2&amp;RankPoints!$B9,Results!$P$2:$P$51,0),25),INDEX(Results!$B$2:$Z$51,MATCH(RankPoints!D$2&amp;RankPoints!$B9,Results!$O$2:$O$51,0),24)))</f>
        <v>1562</v>
      </c>
      <c r="E10" s="200">
        <f>IF(ISERROR(IF(ISERROR(INDEX(Results!$B$2:$Z$51,MATCH(RankPoints!E$2&amp;RankPoints!$B9,Results!$O$2:$O$51,0),24)),INDEX(Results!$B$2:$Z$51,MATCH(RankPoints!E$2&amp;RankPoints!$B9,Results!$P$2:$P$51,0),25),INDEX(Results!$B$2:$Z$51,MATCH(RankPoints!E$2&amp;RankPoints!$B9,Results!$O$2:$O$51,0),24))),E9,IF(ISERROR(INDEX(Results!$B$2:$Z$51,MATCH(RankPoints!E$2&amp;RankPoints!$B9,Results!$O$2:$O$51,0),24)),INDEX(Results!$B$2:$Z$51,MATCH(RankPoints!E$2&amp;RankPoints!$B9,Results!$P$2:$P$51,0),25),INDEX(Results!$B$2:$Z$51,MATCH(RankPoints!E$2&amp;RankPoints!$B9,Results!$O$2:$O$51,0),24)))</f>
        <v>1523</v>
      </c>
      <c r="F10" s="200">
        <f>IF(ISERROR(IF(ISERROR(INDEX(Results!$B$2:$Z$51,MATCH(RankPoints!F$2&amp;RankPoints!$B9,Results!$O$2:$O$51,0),24)),INDEX(Results!$B$2:$Z$51,MATCH(RankPoints!F$2&amp;RankPoints!$B9,Results!$P$2:$P$51,0),25),INDEX(Results!$B$2:$Z$51,MATCH(RankPoints!F$2&amp;RankPoints!$B9,Results!$O$2:$O$51,0),24))),F9,IF(ISERROR(INDEX(Results!$B$2:$Z$51,MATCH(RankPoints!F$2&amp;RankPoints!$B9,Results!$O$2:$O$51,0),24)),INDEX(Results!$B$2:$Z$51,MATCH(RankPoints!F$2&amp;RankPoints!$B9,Results!$P$2:$P$51,0),25),INDEX(Results!$B$2:$Z$51,MATCH(RankPoints!F$2&amp;RankPoints!$B9,Results!$O$2:$O$51,0),24)))</f>
        <v>1440</v>
      </c>
      <c r="G10" s="200">
        <f>IF(ISERROR(IF(ISERROR(INDEX(Results!$B$2:$Z$51,MATCH(RankPoints!G$2&amp;RankPoints!$B9,Results!$O$2:$O$51,0),24)),INDEX(Results!$B$2:$Z$51,MATCH(RankPoints!G$2&amp;RankPoints!$B9,Results!$P$2:$P$51,0),25),INDEX(Results!$B$2:$Z$51,MATCH(RankPoints!G$2&amp;RankPoints!$B9,Results!$O$2:$O$51,0),24))),G9,IF(ISERROR(INDEX(Results!$B$2:$Z$51,MATCH(RankPoints!G$2&amp;RankPoints!$B9,Results!$O$2:$O$51,0),24)),INDEX(Results!$B$2:$Z$51,MATCH(RankPoints!G$2&amp;RankPoints!$B9,Results!$P$2:$P$51,0),25),INDEX(Results!$B$2:$Z$51,MATCH(RankPoints!G$2&amp;RankPoints!$B9,Results!$O$2:$O$51,0),24)))</f>
        <v>1440</v>
      </c>
      <c r="H10" s="200">
        <f>IF(ISERROR(IF(ISERROR(INDEX(Results!$B$2:$Z$51,MATCH(RankPoints!H$2&amp;RankPoints!$B9,Results!$O$2:$O$51,0),24)),INDEX(Results!$B$2:$Z$51,MATCH(RankPoints!H$2&amp;RankPoints!$B9,Results!$P$2:$P$51,0),25),INDEX(Results!$B$2:$Z$51,MATCH(RankPoints!H$2&amp;RankPoints!$B9,Results!$O$2:$O$51,0),24))),H9,IF(ISERROR(INDEX(Results!$B$2:$Z$51,MATCH(RankPoints!H$2&amp;RankPoints!$B9,Results!$O$2:$O$51,0),24)),INDEX(Results!$B$2:$Z$51,MATCH(RankPoints!H$2&amp;RankPoints!$B9,Results!$P$2:$P$51,0),25),INDEX(Results!$B$2:$Z$51,MATCH(RankPoints!H$2&amp;RankPoints!$B9,Results!$O$2:$O$51,0),24)))</f>
        <v>1403</v>
      </c>
      <c r="I10" s="200">
        <f>IF(ISERROR(IF(ISERROR(INDEX(Results!$B$2:$Z$51,MATCH(RankPoints!I$2&amp;RankPoints!$B9,Results!$O$2:$O$51,0),24)),INDEX(Results!$B$2:$Z$51,MATCH(RankPoints!I$2&amp;RankPoints!$B9,Results!$P$2:$P$51,0),25),INDEX(Results!$B$2:$Z$51,MATCH(RankPoints!I$2&amp;RankPoints!$B9,Results!$O$2:$O$51,0),24))),I9,IF(ISERROR(INDEX(Results!$B$2:$Z$51,MATCH(RankPoints!I$2&amp;RankPoints!$B9,Results!$O$2:$O$51,0),24)),INDEX(Results!$B$2:$Z$51,MATCH(RankPoints!I$2&amp;RankPoints!$B9,Results!$P$2:$P$51,0),25),INDEX(Results!$B$2:$Z$51,MATCH(RankPoints!I$2&amp;RankPoints!$B9,Results!$O$2:$O$51,0),24)))</f>
        <v>1413</v>
      </c>
      <c r="J10" s="200">
        <f>IF(ISERROR(IF(ISERROR(INDEX(Results!$B$2:$Z$51,MATCH(RankPoints!J$2&amp;RankPoints!$B9,Results!$O$2:$O$51,0),24)),INDEX(Results!$B$2:$Z$51,MATCH(RankPoints!J$2&amp;RankPoints!$B9,Results!$P$2:$P$51,0),25),INDEX(Results!$B$2:$Z$51,MATCH(RankPoints!J$2&amp;RankPoints!$B9,Results!$O$2:$O$51,0),24))),J9,IF(ISERROR(INDEX(Results!$B$2:$Z$51,MATCH(RankPoints!J$2&amp;RankPoints!$B9,Results!$O$2:$O$51,0),24)),INDEX(Results!$B$2:$Z$51,MATCH(RankPoints!J$2&amp;RankPoints!$B9,Results!$P$2:$P$51,0),25),INDEX(Results!$B$2:$Z$51,MATCH(RankPoints!J$2&amp;RankPoints!$B9,Results!$O$2:$O$51,0),24)))</f>
        <v>1556</v>
      </c>
      <c r="K10" s="200">
        <f>IF(ISERROR(IF(ISERROR(INDEX(Results!$B$2:$Z$51,MATCH(RankPoints!K$2&amp;RankPoints!$B9,Results!$O$2:$O$51,0),24)),INDEX(Results!$B$2:$Z$51,MATCH(RankPoints!K$2&amp;RankPoints!$B9,Results!$P$2:$P$51,0),25),INDEX(Results!$B$2:$Z$51,MATCH(RankPoints!K$2&amp;RankPoints!$B9,Results!$O$2:$O$51,0),24))),K9,IF(ISERROR(INDEX(Results!$B$2:$Z$51,MATCH(RankPoints!K$2&amp;RankPoints!$B9,Results!$O$2:$O$51,0),24)),INDEX(Results!$B$2:$Z$51,MATCH(RankPoints!K$2&amp;RankPoints!$B9,Results!$P$2:$P$51,0),25),INDEX(Results!$B$2:$Z$51,MATCH(RankPoints!K$2&amp;RankPoints!$B9,Results!$O$2:$O$51,0),24)))</f>
        <v>1447</v>
      </c>
      <c r="L10" s="201">
        <f>IF(ISERROR(IF(ISERROR(INDEX(Results!$B$2:$Z$51,MATCH(RankPoints!L$2&amp;RankPoints!$B9,Results!$O$2:$O$51,0),24)),INDEX(Results!$B$2:$Z$51,MATCH(RankPoints!L$2&amp;RankPoints!$B9,Results!$P$2:$P$51,0),25),INDEX(Results!$B$2:$Z$51,MATCH(RankPoints!L$2&amp;RankPoints!$B9,Results!$O$2:$O$51,0),24))),L9,IF(ISERROR(INDEX(Results!$B$2:$Z$51,MATCH(RankPoints!L$2&amp;RankPoints!$B9,Results!$O$2:$O$51,0),24)),INDEX(Results!$B$2:$Z$51,MATCH(RankPoints!L$2&amp;RankPoints!$B9,Results!$P$2:$P$51,0),25),INDEX(Results!$B$2:$Z$51,MATCH(RankPoints!L$2&amp;RankPoints!$B9,Results!$O$2:$O$51,0),24)))</f>
        <v>1592</v>
      </c>
    </row>
    <row r="11" spans="2:12" ht="12.75">
      <c r="B11" s="198">
        <f t="shared" si="0"/>
        <v>9</v>
      </c>
      <c r="C11" s="200">
        <f>IF(ISERROR(IF(ISERROR(INDEX(Results!$B$2:$Z$51,MATCH(RankPoints!C$2&amp;RankPoints!$B10,Results!$O$2:$O$51,0),24)),INDEX(Results!$B$2:$Z$51,MATCH(RankPoints!C$2&amp;RankPoints!$B10,Results!$P$2:$P$51,0),25),INDEX(Results!$B$2:$Z$51,MATCH(RankPoints!C$2&amp;RankPoints!$B10,Results!$O$2:$O$51,0),24))),C10,IF(ISERROR(INDEX(Results!$B$2:$Z$51,MATCH(RankPoints!C$2&amp;RankPoints!$B10,Results!$O$2:$O$51,0),24)),INDEX(Results!$B$2:$Z$51,MATCH(RankPoints!C$2&amp;RankPoints!$B10,Results!$P$2:$P$51,0),25),INDEX(Results!$B$2:$Z$51,MATCH(RankPoints!C$2&amp;RankPoints!$B10,Results!$O$2:$O$51,0),24)))</f>
        <v>1645</v>
      </c>
      <c r="D11" s="200">
        <f>IF(ISERROR(IF(ISERROR(INDEX(Results!$B$2:$Z$51,MATCH(RankPoints!D$2&amp;RankPoints!$B10,Results!$O$2:$O$51,0),24)),INDEX(Results!$B$2:$Z$51,MATCH(RankPoints!D$2&amp;RankPoints!$B10,Results!$P$2:$P$51,0),25),INDEX(Results!$B$2:$Z$51,MATCH(RankPoints!D$2&amp;RankPoints!$B10,Results!$O$2:$O$51,0),24))),D10,IF(ISERROR(INDEX(Results!$B$2:$Z$51,MATCH(RankPoints!D$2&amp;RankPoints!$B10,Results!$O$2:$O$51,0),24)),INDEX(Results!$B$2:$Z$51,MATCH(RankPoints!D$2&amp;RankPoints!$B10,Results!$P$2:$P$51,0),25),INDEX(Results!$B$2:$Z$51,MATCH(RankPoints!D$2&amp;RankPoints!$B10,Results!$O$2:$O$51,0),24)))</f>
        <v>1545</v>
      </c>
      <c r="E11" s="200">
        <f>IF(ISERROR(IF(ISERROR(INDEX(Results!$B$2:$Z$51,MATCH(RankPoints!E$2&amp;RankPoints!$B10,Results!$O$2:$O$51,0),24)),INDEX(Results!$B$2:$Z$51,MATCH(RankPoints!E$2&amp;RankPoints!$B10,Results!$P$2:$P$51,0),25),INDEX(Results!$B$2:$Z$51,MATCH(RankPoints!E$2&amp;RankPoints!$B10,Results!$O$2:$O$51,0),24))),E10,IF(ISERROR(INDEX(Results!$B$2:$Z$51,MATCH(RankPoints!E$2&amp;RankPoints!$B10,Results!$O$2:$O$51,0),24)),INDEX(Results!$B$2:$Z$51,MATCH(RankPoints!E$2&amp;RankPoints!$B10,Results!$P$2:$P$51,0),25),INDEX(Results!$B$2:$Z$51,MATCH(RankPoints!E$2&amp;RankPoints!$B10,Results!$O$2:$O$51,0),24)))</f>
        <v>1502</v>
      </c>
      <c r="F11" s="200">
        <f>IF(ISERROR(IF(ISERROR(INDEX(Results!$B$2:$Z$51,MATCH(RankPoints!F$2&amp;RankPoints!$B10,Results!$O$2:$O$51,0),24)),INDEX(Results!$B$2:$Z$51,MATCH(RankPoints!F$2&amp;RankPoints!$B10,Results!$P$2:$P$51,0),25),INDEX(Results!$B$2:$Z$51,MATCH(RankPoints!F$2&amp;RankPoints!$B10,Results!$O$2:$O$51,0),24))),F10,IF(ISERROR(INDEX(Results!$B$2:$Z$51,MATCH(RankPoints!F$2&amp;RankPoints!$B10,Results!$O$2:$O$51,0),24)),INDEX(Results!$B$2:$Z$51,MATCH(RankPoints!F$2&amp;RankPoints!$B10,Results!$P$2:$P$51,0),25),INDEX(Results!$B$2:$Z$51,MATCH(RankPoints!F$2&amp;RankPoints!$B10,Results!$O$2:$O$51,0),24)))</f>
        <v>1457</v>
      </c>
      <c r="G11" s="200">
        <f>IF(ISERROR(IF(ISERROR(INDEX(Results!$B$2:$Z$51,MATCH(RankPoints!G$2&amp;RankPoints!$B10,Results!$O$2:$O$51,0),24)),INDEX(Results!$B$2:$Z$51,MATCH(RankPoints!G$2&amp;RankPoints!$B10,Results!$P$2:$P$51,0),25),INDEX(Results!$B$2:$Z$51,MATCH(RankPoints!G$2&amp;RankPoints!$B10,Results!$O$2:$O$51,0),24))),G10,IF(ISERROR(INDEX(Results!$B$2:$Z$51,MATCH(RankPoints!G$2&amp;RankPoints!$B10,Results!$O$2:$O$51,0),24)),INDEX(Results!$B$2:$Z$51,MATCH(RankPoints!G$2&amp;RankPoints!$B10,Results!$P$2:$P$51,0),25),INDEX(Results!$B$2:$Z$51,MATCH(RankPoints!G$2&amp;RankPoints!$B10,Results!$O$2:$O$51,0),24)))</f>
        <v>1426</v>
      </c>
      <c r="H11" s="200">
        <f>IF(ISERROR(IF(ISERROR(INDEX(Results!$B$2:$Z$51,MATCH(RankPoints!H$2&amp;RankPoints!$B10,Results!$O$2:$O$51,0),24)),INDEX(Results!$B$2:$Z$51,MATCH(RankPoints!H$2&amp;RankPoints!$B10,Results!$P$2:$P$51,0),25),INDEX(Results!$B$2:$Z$51,MATCH(RankPoints!H$2&amp;RankPoints!$B10,Results!$O$2:$O$51,0),24))),H10,IF(ISERROR(INDEX(Results!$B$2:$Z$51,MATCH(RankPoints!H$2&amp;RankPoints!$B10,Results!$O$2:$O$51,0),24)),INDEX(Results!$B$2:$Z$51,MATCH(RankPoints!H$2&amp;RankPoints!$B10,Results!$P$2:$P$51,0),25),INDEX(Results!$B$2:$Z$51,MATCH(RankPoints!H$2&amp;RankPoints!$B10,Results!$O$2:$O$51,0),24)))</f>
        <v>1417</v>
      </c>
      <c r="I11" s="200">
        <f>IF(ISERROR(IF(ISERROR(INDEX(Results!$B$2:$Z$51,MATCH(RankPoints!I$2&amp;RankPoints!$B10,Results!$O$2:$O$51,0),24)),INDEX(Results!$B$2:$Z$51,MATCH(RankPoints!I$2&amp;RankPoints!$B10,Results!$P$2:$P$51,0),25),INDEX(Results!$B$2:$Z$51,MATCH(RankPoints!I$2&amp;RankPoints!$B10,Results!$O$2:$O$51,0),24))),I10,IF(ISERROR(INDEX(Results!$B$2:$Z$51,MATCH(RankPoints!I$2&amp;RankPoints!$B10,Results!$O$2:$O$51,0),24)),INDEX(Results!$B$2:$Z$51,MATCH(RankPoints!I$2&amp;RankPoints!$B10,Results!$P$2:$P$51,0),25),INDEX(Results!$B$2:$Z$51,MATCH(RankPoints!I$2&amp;RankPoints!$B10,Results!$O$2:$O$51,0),24)))</f>
        <v>1396</v>
      </c>
      <c r="J11" s="200">
        <f>IF(ISERROR(IF(ISERROR(INDEX(Results!$B$2:$Z$51,MATCH(RankPoints!J$2&amp;RankPoints!$B10,Results!$O$2:$O$51,0),24)),INDEX(Results!$B$2:$Z$51,MATCH(RankPoints!J$2&amp;RankPoints!$B10,Results!$P$2:$P$51,0),25),INDEX(Results!$B$2:$Z$51,MATCH(RankPoints!J$2&amp;RankPoints!$B10,Results!$O$2:$O$51,0),24))),J10,IF(ISERROR(INDEX(Results!$B$2:$Z$51,MATCH(RankPoints!J$2&amp;RankPoints!$B10,Results!$O$2:$O$51,0),24)),INDEX(Results!$B$2:$Z$51,MATCH(RankPoints!J$2&amp;RankPoints!$B10,Results!$P$2:$P$51,0),25),INDEX(Results!$B$2:$Z$51,MATCH(RankPoints!J$2&amp;RankPoints!$B10,Results!$O$2:$O$51,0),24)))</f>
        <v>1577</v>
      </c>
      <c r="K11" s="200">
        <f>IF(ISERROR(IF(ISERROR(INDEX(Results!$B$2:$Z$51,MATCH(RankPoints!K$2&amp;RankPoints!$B10,Results!$O$2:$O$51,0),24)),INDEX(Results!$B$2:$Z$51,MATCH(RankPoints!K$2&amp;RankPoints!$B10,Results!$P$2:$P$51,0),25),INDEX(Results!$B$2:$Z$51,MATCH(RankPoints!K$2&amp;RankPoints!$B10,Results!$O$2:$O$51,0),24))),K10,IF(ISERROR(INDEX(Results!$B$2:$Z$51,MATCH(RankPoints!K$2&amp;RankPoints!$B10,Results!$O$2:$O$51,0),24)),INDEX(Results!$B$2:$Z$51,MATCH(RankPoints!K$2&amp;RankPoints!$B10,Results!$P$2:$P$51,0),25),INDEX(Results!$B$2:$Z$51,MATCH(RankPoints!K$2&amp;RankPoints!$B10,Results!$O$2:$O$51,0),24)))</f>
        <v>1426</v>
      </c>
      <c r="L11" s="201">
        <f>IF(ISERROR(IF(ISERROR(INDEX(Results!$B$2:$Z$51,MATCH(RankPoints!L$2&amp;RankPoints!$B10,Results!$O$2:$O$51,0),24)),INDEX(Results!$B$2:$Z$51,MATCH(RankPoints!L$2&amp;RankPoints!$B10,Results!$P$2:$P$51,0),25),INDEX(Results!$B$2:$Z$51,MATCH(RankPoints!L$2&amp;RankPoints!$B10,Results!$O$2:$O$51,0),24))),L10,IF(ISERROR(INDEX(Results!$B$2:$Z$51,MATCH(RankPoints!L$2&amp;RankPoints!$B10,Results!$O$2:$O$51,0),24)),INDEX(Results!$B$2:$Z$51,MATCH(RankPoints!L$2&amp;RankPoints!$B10,Results!$P$2:$P$51,0),25),INDEX(Results!$B$2:$Z$51,MATCH(RankPoints!L$2&amp;RankPoints!$B10,Results!$O$2:$O$51,0),24)))</f>
        <v>1609</v>
      </c>
    </row>
    <row r="12" spans="2:12" ht="12.75">
      <c r="B12" s="198">
        <f t="shared" si="0"/>
        <v>10</v>
      </c>
      <c r="C12" s="200">
        <f>IF(ISERROR(IF(ISERROR(INDEX(Results!$B$2:$Z$51,MATCH(RankPoints!C$2&amp;RankPoints!$B11,Results!$O$2:$O$51,0),24)),INDEX(Results!$B$2:$Z$51,MATCH(RankPoints!C$2&amp;RankPoints!$B11,Results!$P$2:$P$51,0),25),INDEX(Results!$B$2:$Z$51,MATCH(RankPoints!C$2&amp;RankPoints!$B11,Results!$O$2:$O$51,0),24))),C11,IF(ISERROR(INDEX(Results!$B$2:$Z$51,MATCH(RankPoints!C$2&amp;RankPoints!$B11,Results!$O$2:$O$51,0),24)),INDEX(Results!$B$2:$Z$51,MATCH(RankPoints!C$2&amp;RankPoints!$B11,Results!$P$2:$P$51,0),25),INDEX(Results!$B$2:$Z$51,MATCH(RankPoints!C$2&amp;RankPoints!$B11,Results!$O$2:$O$51,0),24)))</f>
        <v>1670</v>
      </c>
      <c r="D12" s="200">
        <f>IF(ISERROR(IF(ISERROR(INDEX(Results!$B$2:$Z$51,MATCH(RankPoints!D$2&amp;RankPoints!$B11,Results!$O$2:$O$51,0),24)),INDEX(Results!$B$2:$Z$51,MATCH(RankPoints!D$2&amp;RankPoints!$B11,Results!$P$2:$P$51,0),25),INDEX(Results!$B$2:$Z$51,MATCH(RankPoints!D$2&amp;RankPoints!$B11,Results!$O$2:$O$51,0),24))),D11,IF(ISERROR(INDEX(Results!$B$2:$Z$51,MATCH(RankPoints!D$2&amp;RankPoints!$B11,Results!$O$2:$O$51,0),24)),INDEX(Results!$B$2:$Z$51,MATCH(RankPoints!D$2&amp;RankPoints!$B11,Results!$P$2:$P$51,0),25),INDEX(Results!$B$2:$Z$51,MATCH(RankPoints!D$2&amp;RankPoints!$B11,Results!$O$2:$O$51,0),24)))</f>
        <v>1560</v>
      </c>
      <c r="E12" s="200">
        <f>IF(ISERROR(IF(ISERROR(INDEX(Results!$B$2:$Z$51,MATCH(RankPoints!E$2&amp;RankPoints!$B11,Results!$O$2:$O$51,0),24)),INDEX(Results!$B$2:$Z$51,MATCH(RankPoints!E$2&amp;RankPoints!$B11,Results!$P$2:$P$51,0),25),INDEX(Results!$B$2:$Z$51,MATCH(RankPoints!E$2&amp;RankPoints!$B11,Results!$O$2:$O$51,0),24))),E11,IF(ISERROR(INDEX(Results!$B$2:$Z$51,MATCH(RankPoints!E$2&amp;RankPoints!$B11,Results!$O$2:$O$51,0),24)),INDEX(Results!$B$2:$Z$51,MATCH(RankPoints!E$2&amp;RankPoints!$B11,Results!$P$2:$P$51,0),25),INDEX(Results!$B$2:$Z$51,MATCH(RankPoints!E$2&amp;RankPoints!$B11,Results!$O$2:$O$51,0),24)))</f>
        <v>1521</v>
      </c>
      <c r="F12" s="200">
        <f>IF(ISERROR(IF(ISERROR(INDEX(Results!$B$2:$Z$51,MATCH(RankPoints!F$2&amp;RankPoints!$B11,Results!$O$2:$O$51,0),24)),INDEX(Results!$B$2:$Z$51,MATCH(RankPoints!F$2&amp;RankPoints!$B11,Results!$P$2:$P$51,0),25),INDEX(Results!$B$2:$Z$51,MATCH(RankPoints!F$2&amp;RankPoints!$B11,Results!$O$2:$O$51,0),24))),F11,IF(ISERROR(INDEX(Results!$B$2:$Z$51,MATCH(RankPoints!F$2&amp;RankPoints!$B11,Results!$O$2:$O$51,0),24)),INDEX(Results!$B$2:$Z$51,MATCH(RankPoints!F$2&amp;RankPoints!$B11,Results!$P$2:$P$51,0),25),INDEX(Results!$B$2:$Z$51,MATCH(RankPoints!F$2&amp;RankPoints!$B11,Results!$O$2:$O$51,0),24)))</f>
        <v>1475</v>
      </c>
      <c r="G12" s="200">
        <f>IF(ISERROR(IF(ISERROR(INDEX(Results!$B$2:$Z$51,MATCH(RankPoints!G$2&amp;RankPoints!$B11,Results!$O$2:$O$51,0),24)),INDEX(Results!$B$2:$Z$51,MATCH(RankPoints!G$2&amp;RankPoints!$B11,Results!$P$2:$P$51,0),25),INDEX(Results!$B$2:$Z$51,MATCH(RankPoints!G$2&amp;RankPoints!$B11,Results!$O$2:$O$51,0),24))),G11,IF(ISERROR(INDEX(Results!$B$2:$Z$51,MATCH(RankPoints!G$2&amp;RankPoints!$B11,Results!$O$2:$O$51,0),24)),INDEX(Results!$B$2:$Z$51,MATCH(RankPoints!G$2&amp;RankPoints!$B11,Results!$P$2:$P$51,0),25),INDEX(Results!$B$2:$Z$51,MATCH(RankPoints!G$2&amp;RankPoints!$B11,Results!$O$2:$O$51,0),24)))</f>
        <v>1401</v>
      </c>
      <c r="H12" s="200">
        <f>IF(ISERROR(IF(ISERROR(INDEX(Results!$B$2:$Z$51,MATCH(RankPoints!H$2&amp;RankPoints!$B11,Results!$O$2:$O$51,0),24)),INDEX(Results!$B$2:$Z$51,MATCH(RankPoints!H$2&amp;RankPoints!$B11,Results!$P$2:$P$51,0),25),INDEX(Results!$B$2:$Z$51,MATCH(RankPoints!H$2&amp;RankPoints!$B11,Results!$O$2:$O$51,0),24))),H11,IF(ISERROR(INDEX(Results!$B$2:$Z$51,MATCH(RankPoints!H$2&amp;RankPoints!$B11,Results!$O$2:$O$51,0),24)),INDEX(Results!$B$2:$Z$51,MATCH(RankPoints!H$2&amp;RankPoints!$B11,Results!$P$2:$P$51,0),25),INDEX(Results!$B$2:$Z$51,MATCH(RankPoints!H$2&amp;RankPoints!$B11,Results!$O$2:$O$51,0),24)))</f>
        <v>1399</v>
      </c>
      <c r="I12" s="200">
        <f>IF(ISERROR(IF(ISERROR(INDEX(Results!$B$2:$Z$51,MATCH(RankPoints!I$2&amp;RankPoints!$B11,Results!$O$2:$O$51,0),24)),INDEX(Results!$B$2:$Z$51,MATCH(RankPoints!I$2&amp;RankPoints!$B11,Results!$P$2:$P$51,0),25),INDEX(Results!$B$2:$Z$51,MATCH(RankPoints!I$2&amp;RankPoints!$B11,Results!$O$2:$O$51,0),24))),I11,IF(ISERROR(INDEX(Results!$B$2:$Z$51,MATCH(RankPoints!I$2&amp;RankPoints!$B11,Results!$O$2:$O$51,0),24)),INDEX(Results!$B$2:$Z$51,MATCH(RankPoints!I$2&amp;RankPoints!$B11,Results!$P$2:$P$51,0),25),INDEX(Results!$B$2:$Z$51,MATCH(RankPoints!I$2&amp;RankPoints!$B11,Results!$O$2:$O$51,0),24)))</f>
        <v>1371</v>
      </c>
      <c r="J12" s="200">
        <f>IF(ISERROR(IF(ISERROR(INDEX(Results!$B$2:$Z$51,MATCH(RankPoints!J$2&amp;RankPoints!$B11,Results!$O$2:$O$51,0),24)),INDEX(Results!$B$2:$Z$51,MATCH(RankPoints!J$2&amp;RankPoints!$B11,Results!$P$2:$P$51,0),25),INDEX(Results!$B$2:$Z$51,MATCH(RankPoints!J$2&amp;RankPoints!$B11,Results!$O$2:$O$51,0),24))),J11,IF(ISERROR(INDEX(Results!$B$2:$Z$51,MATCH(RankPoints!J$2&amp;RankPoints!$B11,Results!$O$2:$O$51,0),24)),INDEX(Results!$B$2:$Z$51,MATCH(RankPoints!J$2&amp;RankPoints!$B11,Results!$P$2:$P$51,0),25),INDEX(Results!$B$2:$Z$51,MATCH(RankPoints!J$2&amp;RankPoints!$B11,Results!$O$2:$O$51,0),24)))</f>
        <v>1562</v>
      </c>
      <c r="K12" s="200">
        <f>IF(ISERROR(IF(ISERROR(INDEX(Results!$B$2:$Z$51,MATCH(RankPoints!K$2&amp;RankPoints!$B11,Results!$O$2:$O$51,0),24)),INDEX(Results!$B$2:$Z$51,MATCH(RankPoints!K$2&amp;RankPoints!$B11,Results!$P$2:$P$51,0),25),INDEX(Results!$B$2:$Z$51,MATCH(RankPoints!K$2&amp;RankPoints!$B11,Results!$O$2:$O$51,0),24))),K11,IF(ISERROR(INDEX(Results!$B$2:$Z$51,MATCH(RankPoints!K$2&amp;RankPoints!$B11,Results!$O$2:$O$51,0),24)),INDEX(Results!$B$2:$Z$51,MATCH(RankPoints!K$2&amp;RankPoints!$B11,Results!$P$2:$P$51,0),25),INDEX(Results!$B$2:$Z$51,MATCH(RankPoints!K$2&amp;RankPoints!$B11,Results!$O$2:$O$51,0),24)))</f>
        <v>1407</v>
      </c>
      <c r="L12" s="201">
        <f>IF(ISERROR(IF(ISERROR(INDEX(Results!$B$2:$Z$51,MATCH(RankPoints!L$2&amp;RankPoints!$B11,Results!$O$2:$O$51,0),24)),INDEX(Results!$B$2:$Z$51,MATCH(RankPoints!L$2&amp;RankPoints!$B11,Results!$P$2:$P$51,0),25),INDEX(Results!$B$2:$Z$51,MATCH(RankPoints!L$2&amp;RankPoints!$B11,Results!$O$2:$O$51,0),24))),L11,IF(ISERROR(INDEX(Results!$B$2:$Z$51,MATCH(RankPoints!L$2&amp;RankPoints!$B11,Results!$O$2:$O$51,0),24)),INDEX(Results!$B$2:$Z$51,MATCH(RankPoints!L$2&amp;RankPoints!$B11,Results!$P$2:$P$51,0),25),INDEX(Results!$B$2:$Z$51,MATCH(RankPoints!L$2&amp;RankPoints!$B11,Results!$O$2:$O$51,0),24)))</f>
        <v>1634</v>
      </c>
    </row>
    <row r="13" spans="2:12" ht="12.75">
      <c r="B13" s="198">
        <f t="shared" si="0"/>
        <v>11</v>
      </c>
      <c r="C13" s="200">
        <f>IF(ISERROR(IF(ISERROR(INDEX(Results!$B$2:$Z$51,MATCH(RankPoints!C$2&amp;RankPoints!$B12,Results!$O$2:$O$51,0),24)),INDEX(Results!$B$2:$Z$51,MATCH(RankPoints!C$2&amp;RankPoints!$B12,Results!$P$2:$P$51,0),25),INDEX(Results!$B$2:$Z$51,MATCH(RankPoints!C$2&amp;RankPoints!$B12,Results!$O$2:$O$51,0),24))),C12,IF(ISERROR(INDEX(Results!$B$2:$Z$51,MATCH(RankPoints!C$2&amp;RankPoints!$B12,Results!$O$2:$O$51,0),24)),INDEX(Results!$B$2:$Z$51,MATCH(RankPoints!C$2&amp;RankPoints!$B12,Results!$P$2:$P$51,0),25),INDEX(Results!$B$2:$Z$51,MATCH(RankPoints!C$2&amp;RankPoints!$B12,Results!$O$2:$O$51,0),24)))</f>
        <v>1691</v>
      </c>
      <c r="D13" s="200">
        <f>IF(ISERROR(IF(ISERROR(INDEX(Results!$B$2:$Z$51,MATCH(RankPoints!D$2&amp;RankPoints!$B12,Results!$O$2:$O$51,0),24)),INDEX(Results!$B$2:$Z$51,MATCH(RankPoints!D$2&amp;RankPoints!$B12,Results!$P$2:$P$51,0),25),INDEX(Results!$B$2:$Z$51,MATCH(RankPoints!D$2&amp;RankPoints!$B12,Results!$O$2:$O$51,0),24))),D12,IF(ISERROR(INDEX(Results!$B$2:$Z$51,MATCH(RankPoints!D$2&amp;RankPoints!$B12,Results!$O$2:$O$51,0),24)),INDEX(Results!$B$2:$Z$51,MATCH(RankPoints!D$2&amp;RankPoints!$B12,Results!$P$2:$P$51,0),25),INDEX(Results!$B$2:$Z$51,MATCH(RankPoints!D$2&amp;RankPoints!$B12,Results!$O$2:$O$51,0),24)))</f>
        <v>1541</v>
      </c>
      <c r="E13" s="200">
        <f>IF(ISERROR(IF(ISERROR(INDEX(Results!$B$2:$Z$51,MATCH(RankPoints!E$2&amp;RankPoints!$B12,Results!$O$2:$O$51,0),24)),INDEX(Results!$B$2:$Z$51,MATCH(RankPoints!E$2&amp;RankPoints!$B12,Results!$P$2:$P$51,0),25),INDEX(Results!$B$2:$Z$51,MATCH(RankPoints!E$2&amp;RankPoints!$B12,Results!$O$2:$O$51,0),24))),E12,IF(ISERROR(INDEX(Results!$B$2:$Z$51,MATCH(RankPoints!E$2&amp;RankPoints!$B12,Results!$O$2:$O$51,0),24)),INDEX(Results!$B$2:$Z$51,MATCH(RankPoints!E$2&amp;RankPoints!$B12,Results!$P$2:$P$51,0),25),INDEX(Results!$B$2:$Z$51,MATCH(RankPoints!E$2&amp;RankPoints!$B12,Results!$O$2:$O$51,0),24)))</f>
        <v>1521</v>
      </c>
      <c r="F13" s="200">
        <f>IF(ISERROR(IF(ISERROR(INDEX(Results!$B$2:$Z$51,MATCH(RankPoints!F$2&amp;RankPoints!$B12,Results!$O$2:$O$51,0),24)),INDEX(Results!$B$2:$Z$51,MATCH(RankPoints!F$2&amp;RankPoints!$B12,Results!$P$2:$P$51,0),25),INDEX(Results!$B$2:$Z$51,MATCH(RankPoints!F$2&amp;RankPoints!$B12,Results!$O$2:$O$51,0),24))),F12,IF(ISERROR(INDEX(Results!$B$2:$Z$51,MATCH(RankPoints!F$2&amp;RankPoints!$B12,Results!$O$2:$O$51,0),24)),INDEX(Results!$B$2:$Z$51,MATCH(RankPoints!F$2&amp;RankPoints!$B12,Results!$P$2:$P$51,0),25),INDEX(Results!$B$2:$Z$51,MATCH(RankPoints!F$2&amp;RankPoints!$B12,Results!$O$2:$O$51,0),24)))</f>
        <v>1475</v>
      </c>
      <c r="G13" s="200">
        <f>IF(ISERROR(IF(ISERROR(INDEX(Results!$B$2:$Z$51,MATCH(RankPoints!G$2&amp;RankPoints!$B12,Results!$O$2:$O$51,0),24)),INDEX(Results!$B$2:$Z$51,MATCH(RankPoints!G$2&amp;RankPoints!$B12,Results!$P$2:$P$51,0),25),INDEX(Results!$B$2:$Z$51,MATCH(RankPoints!G$2&amp;RankPoints!$B12,Results!$O$2:$O$51,0),24))),G12,IF(ISERROR(INDEX(Results!$B$2:$Z$51,MATCH(RankPoints!G$2&amp;RankPoints!$B12,Results!$O$2:$O$51,0),24)),INDEX(Results!$B$2:$Z$51,MATCH(RankPoints!G$2&amp;RankPoints!$B12,Results!$P$2:$P$51,0),25),INDEX(Results!$B$2:$Z$51,MATCH(RankPoints!G$2&amp;RankPoints!$B12,Results!$O$2:$O$51,0),24)))</f>
        <v>1401</v>
      </c>
      <c r="H13" s="200">
        <f>IF(ISERROR(IF(ISERROR(INDEX(Results!$B$2:$Z$51,MATCH(RankPoints!H$2&amp;RankPoints!$B12,Results!$O$2:$O$51,0),24)),INDEX(Results!$B$2:$Z$51,MATCH(RankPoints!H$2&amp;RankPoints!$B12,Results!$P$2:$P$51,0),25),INDEX(Results!$B$2:$Z$51,MATCH(RankPoints!H$2&amp;RankPoints!$B12,Results!$O$2:$O$51,0),24))),H12,IF(ISERROR(INDEX(Results!$B$2:$Z$51,MATCH(RankPoints!H$2&amp;RankPoints!$B12,Results!$O$2:$O$51,0),24)),INDEX(Results!$B$2:$Z$51,MATCH(RankPoints!H$2&amp;RankPoints!$B12,Results!$P$2:$P$51,0),25),INDEX(Results!$B$2:$Z$51,MATCH(RankPoints!H$2&amp;RankPoints!$B12,Results!$O$2:$O$51,0),24)))</f>
        <v>1399</v>
      </c>
      <c r="I13" s="200">
        <f>IF(ISERROR(IF(ISERROR(INDEX(Results!$B$2:$Z$51,MATCH(RankPoints!I$2&amp;RankPoints!$B12,Results!$O$2:$O$51,0),24)),INDEX(Results!$B$2:$Z$51,MATCH(RankPoints!I$2&amp;RankPoints!$B12,Results!$P$2:$P$51,0),25),INDEX(Results!$B$2:$Z$51,MATCH(RankPoints!I$2&amp;RankPoints!$B12,Results!$O$2:$O$51,0),24))),I12,IF(ISERROR(INDEX(Results!$B$2:$Z$51,MATCH(RankPoints!I$2&amp;RankPoints!$B12,Results!$O$2:$O$51,0),24)),INDEX(Results!$B$2:$Z$51,MATCH(RankPoints!I$2&amp;RankPoints!$B12,Results!$P$2:$P$51,0),25),INDEX(Results!$B$2:$Z$51,MATCH(RankPoints!I$2&amp;RankPoints!$B12,Results!$O$2:$O$51,0),24)))</f>
        <v>1371</v>
      </c>
      <c r="J13" s="200">
        <f>IF(ISERROR(IF(ISERROR(INDEX(Results!$B$2:$Z$51,MATCH(RankPoints!J$2&amp;RankPoints!$B12,Results!$O$2:$O$51,0),24)),INDEX(Results!$B$2:$Z$51,MATCH(RankPoints!J$2&amp;RankPoints!$B12,Results!$P$2:$P$51,0),25),INDEX(Results!$B$2:$Z$51,MATCH(RankPoints!J$2&amp;RankPoints!$B12,Results!$O$2:$O$51,0),24))),J12,IF(ISERROR(INDEX(Results!$B$2:$Z$51,MATCH(RankPoints!J$2&amp;RankPoints!$B12,Results!$O$2:$O$51,0),24)),INDEX(Results!$B$2:$Z$51,MATCH(RankPoints!J$2&amp;RankPoints!$B12,Results!$P$2:$P$51,0),25),INDEX(Results!$B$2:$Z$51,MATCH(RankPoints!J$2&amp;RankPoints!$B12,Results!$O$2:$O$51,0),24)))</f>
        <v>1541</v>
      </c>
      <c r="K13" s="200">
        <f>IF(ISERROR(IF(ISERROR(INDEX(Results!$B$2:$Z$51,MATCH(RankPoints!K$2&amp;RankPoints!$B12,Results!$O$2:$O$51,0),24)),INDEX(Results!$B$2:$Z$51,MATCH(RankPoints!K$2&amp;RankPoints!$B12,Results!$P$2:$P$51,0),25),INDEX(Results!$B$2:$Z$51,MATCH(RankPoints!K$2&amp;RankPoints!$B12,Results!$O$2:$O$51,0),24))),K12,IF(ISERROR(INDEX(Results!$B$2:$Z$51,MATCH(RankPoints!K$2&amp;RankPoints!$B12,Results!$O$2:$O$51,0),24)),INDEX(Results!$B$2:$Z$51,MATCH(RankPoints!K$2&amp;RankPoints!$B12,Results!$P$2:$P$51,0),25),INDEX(Results!$B$2:$Z$51,MATCH(RankPoints!K$2&amp;RankPoints!$B12,Results!$O$2:$O$51,0),24)))</f>
        <v>1407</v>
      </c>
      <c r="L13" s="201">
        <f>IF(ISERROR(IF(ISERROR(INDEX(Results!$B$2:$Z$51,MATCH(RankPoints!L$2&amp;RankPoints!$B12,Results!$O$2:$O$51,0),24)),INDEX(Results!$B$2:$Z$51,MATCH(RankPoints!L$2&amp;RankPoints!$B12,Results!$P$2:$P$51,0),25),INDEX(Results!$B$2:$Z$51,MATCH(RankPoints!L$2&amp;RankPoints!$B12,Results!$O$2:$O$51,0),24))),L12,IF(ISERROR(INDEX(Results!$B$2:$Z$51,MATCH(RankPoints!L$2&amp;RankPoints!$B12,Results!$O$2:$O$51,0),24)),INDEX(Results!$B$2:$Z$51,MATCH(RankPoints!L$2&amp;RankPoints!$B12,Results!$P$2:$P$51,0),25),INDEX(Results!$B$2:$Z$51,MATCH(RankPoints!L$2&amp;RankPoints!$B12,Results!$O$2:$O$51,0),24)))</f>
        <v>1653</v>
      </c>
    </row>
    <row r="14" spans="2:12" ht="13.5" thickBot="1">
      <c r="B14" s="199">
        <f t="shared" si="0"/>
        <v>12</v>
      </c>
      <c r="C14" s="202">
        <f>IF(ISERROR(IF(ISERROR(INDEX(Results!$B$2:$Z$51,MATCH(RankPoints!C$2&amp;RankPoints!$B13,Results!$O$2:$O$51,0),24)),INDEX(Results!$B$2:$Z$51,MATCH(RankPoints!C$2&amp;RankPoints!$B13,Results!$P$2:$P$51,0),25),INDEX(Results!$B$2:$Z$51,MATCH(RankPoints!C$2&amp;RankPoints!$B13,Results!$O$2:$O$51,0),24))),C13,IF(ISERROR(INDEX(Results!$B$2:$Z$51,MATCH(RankPoints!C$2&amp;RankPoints!$B13,Results!$O$2:$O$51,0),24)),INDEX(Results!$B$2:$Z$51,MATCH(RankPoints!C$2&amp;RankPoints!$B13,Results!$P$2:$P$51,0),25),INDEX(Results!$B$2:$Z$51,MATCH(RankPoints!C$2&amp;RankPoints!$B13,Results!$O$2:$O$51,0),24)))</f>
        <v>1677</v>
      </c>
      <c r="D14" s="202">
        <f>IF(ISERROR(IF(ISERROR(INDEX(Results!$B$2:$Z$51,MATCH(RankPoints!D$2&amp;RankPoints!$B13,Results!$O$2:$O$51,0),24)),INDEX(Results!$B$2:$Z$51,MATCH(RankPoints!D$2&amp;RankPoints!$B13,Results!$P$2:$P$51,0),25),INDEX(Results!$B$2:$Z$51,MATCH(RankPoints!D$2&amp;RankPoints!$B13,Results!$O$2:$O$51,0),24))),D13,IF(ISERROR(INDEX(Results!$B$2:$Z$51,MATCH(RankPoints!D$2&amp;RankPoints!$B13,Results!$O$2:$O$51,0),24)),INDEX(Results!$B$2:$Z$51,MATCH(RankPoints!D$2&amp;RankPoints!$B13,Results!$P$2:$P$51,0),25),INDEX(Results!$B$2:$Z$51,MATCH(RankPoints!D$2&amp;RankPoints!$B13,Results!$O$2:$O$51,0),24)))</f>
        <v>1557</v>
      </c>
      <c r="E14" s="202">
        <f>IF(ISERROR(IF(ISERROR(INDEX(Results!$B$2:$Z$51,MATCH(RankPoints!E$2&amp;RankPoints!$B13,Results!$O$2:$O$51,0),24)),INDEX(Results!$B$2:$Z$51,MATCH(RankPoints!E$2&amp;RankPoints!$B13,Results!$P$2:$P$51,0),25),INDEX(Results!$B$2:$Z$51,MATCH(RankPoints!E$2&amp;RankPoints!$B13,Results!$O$2:$O$51,0),24))),E13,IF(ISERROR(INDEX(Results!$B$2:$Z$51,MATCH(RankPoints!E$2&amp;RankPoints!$B13,Results!$O$2:$O$51,0),24)),INDEX(Results!$B$2:$Z$51,MATCH(RankPoints!E$2&amp;RankPoints!$B13,Results!$P$2:$P$51,0),25),INDEX(Results!$B$2:$Z$51,MATCH(RankPoints!E$2&amp;RankPoints!$B13,Results!$O$2:$O$51,0),24)))</f>
        <v>1521</v>
      </c>
      <c r="F14" s="202">
        <f>IF(ISERROR(IF(ISERROR(INDEX(Results!$B$2:$Z$51,MATCH(RankPoints!F$2&amp;RankPoints!$B13,Results!$O$2:$O$51,0),24)),INDEX(Results!$B$2:$Z$51,MATCH(RankPoints!F$2&amp;RankPoints!$B13,Results!$P$2:$P$51,0),25),INDEX(Results!$B$2:$Z$51,MATCH(RankPoints!F$2&amp;RankPoints!$B13,Results!$O$2:$O$51,0),24))),F13,IF(ISERROR(INDEX(Results!$B$2:$Z$51,MATCH(RankPoints!F$2&amp;RankPoints!$B13,Results!$O$2:$O$51,0),24)),INDEX(Results!$B$2:$Z$51,MATCH(RankPoints!F$2&amp;RankPoints!$B13,Results!$P$2:$P$51,0),25),INDEX(Results!$B$2:$Z$51,MATCH(RankPoints!F$2&amp;RankPoints!$B13,Results!$O$2:$O$51,0),24)))</f>
        <v>1475</v>
      </c>
      <c r="G14" s="202">
        <f>IF(ISERROR(IF(ISERROR(INDEX(Results!$B$2:$Z$51,MATCH(RankPoints!G$2&amp;RankPoints!$B13,Results!$O$2:$O$51,0),24)),INDEX(Results!$B$2:$Z$51,MATCH(RankPoints!G$2&amp;RankPoints!$B13,Results!$P$2:$P$51,0),25),INDEX(Results!$B$2:$Z$51,MATCH(RankPoints!G$2&amp;RankPoints!$B13,Results!$O$2:$O$51,0),24))),G13,IF(ISERROR(INDEX(Results!$B$2:$Z$51,MATCH(RankPoints!G$2&amp;RankPoints!$B13,Results!$O$2:$O$51,0),24)),INDEX(Results!$B$2:$Z$51,MATCH(RankPoints!G$2&amp;RankPoints!$B13,Results!$P$2:$P$51,0),25),INDEX(Results!$B$2:$Z$51,MATCH(RankPoints!G$2&amp;RankPoints!$B13,Results!$O$2:$O$51,0),24)))</f>
        <v>1401</v>
      </c>
      <c r="H14" s="202">
        <f>IF(ISERROR(IF(ISERROR(INDEX(Results!$B$2:$Z$51,MATCH(RankPoints!H$2&amp;RankPoints!$B13,Results!$O$2:$O$51,0),24)),INDEX(Results!$B$2:$Z$51,MATCH(RankPoints!H$2&amp;RankPoints!$B13,Results!$P$2:$P$51,0),25),INDEX(Results!$B$2:$Z$51,MATCH(RankPoints!H$2&amp;RankPoints!$B13,Results!$O$2:$O$51,0),24))),H13,IF(ISERROR(INDEX(Results!$B$2:$Z$51,MATCH(RankPoints!H$2&amp;RankPoints!$B13,Results!$O$2:$O$51,0),24)),INDEX(Results!$B$2:$Z$51,MATCH(RankPoints!H$2&amp;RankPoints!$B13,Results!$P$2:$P$51,0),25),INDEX(Results!$B$2:$Z$51,MATCH(RankPoints!H$2&amp;RankPoints!$B13,Results!$O$2:$O$51,0),24)))</f>
        <v>1399</v>
      </c>
      <c r="I14" s="202">
        <f>IF(ISERROR(IF(ISERROR(INDEX(Results!$B$2:$Z$51,MATCH(RankPoints!I$2&amp;RankPoints!$B13,Results!$O$2:$O$51,0),24)),INDEX(Results!$B$2:$Z$51,MATCH(RankPoints!I$2&amp;RankPoints!$B13,Results!$P$2:$P$51,0),25),INDEX(Results!$B$2:$Z$51,MATCH(RankPoints!I$2&amp;RankPoints!$B13,Results!$O$2:$O$51,0),24))),I13,IF(ISERROR(INDEX(Results!$B$2:$Z$51,MATCH(RankPoints!I$2&amp;RankPoints!$B13,Results!$O$2:$O$51,0),24)),INDEX(Results!$B$2:$Z$51,MATCH(RankPoints!I$2&amp;RankPoints!$B13,Results!$P$2:$P$51,0),25),INDEX(Results!$B$2:$Z$51,MATCH(RankPoints!I$2&amp;RankPoints!$B13,Results!$O$2:$O$51,0),24)))</f>
        <v>1371</v>
      </c>
      <c r="J14" s="202">
        <f>IF(ISERROR(IF(ISERROR(INDEX(Results!$B$2:$Z$51,MATCH(RankPoints!J$2&amp;RankPoints!$B13,Results!$O$2:$O$51,0),24)),INDEX(Results!$B$2:$Z$51,MATCH(RankPoints!J$2&amp;RankPoints!$B13,Results!$P$2:$P$51,0),25),INDEX(Results!$B$2:$Z$51,MATCH(RankPoints!J$2&amp;RankPoints!$B13,Results!$O$2:$O$51,0),24))),J13,IF(ISERROR(INDEX(Results!$B$2:$Z$51,MATCH(RankPoints!J$2&amp;RankPoints!$B13,Results!$O$2:$O$51,0),24)),INDEX(Results!$B$2:$Z$51,MATCH(RankPoints!J$2&amp;RankPoints!$B13,Results!$P$2:$P$51,0),25),INDEX(Results!$B$2:$Z$51,MATCH(RankPoints!J$2&amp;RankPoints!$B13,Results!$O$2:$O$51,0),24)))</f>
        <v>1525</v>
      </c>
      <c r="K14" s="202">
        <f>IF(ISERROR(IF(ISERROR(INDEX(Results!$B$2:$Z$51,MATCH(RankPoints!K$2&amp;RankPoints!$B13,Results!$O$2:$O$51,0),24)),INDEX(Results!$B$2:$Z$51,MATCH(RankPoints!K$2&amp;RankPoints!$B13,Results!$P$2:$P$51,0),25),INDEX(Results!$B$2:$Z$51,MATCH(RankPoints!K$2&amp;RankPoints!$B13,Results!$O$2:$O$51,0),24))),K13,IF(ISERROR(INDEX(Results!$B$2:$Z$51,MATCH(RankPoints!K$2&amp;RankPoints!$B13,Results!$O$2:$O$51,0),24)),INDEX(Results!$B$2:$Z$51,MATCH(RankPoints!K$2&amp;RankPoints!$B13,Results!$P$2:$P$51,0),25),INDEX(Results!$B$2:$Z$51,MATCH(RankPoints!K$2&amp;RankPoints!$B13,Results!$O$2:$O$51,0),24)))</f>
        <v>1407</v>
      </c>
      <c r="L14" s="203">
        <f>IF(ISERROR(IF(ISERROR(INDEX(Results!$B$2:$Z$51,MATCH(RankPoints!L$2&amp;RankPoints!$B13,Results!$O$2:$O$51,0),24)),INDEX(Results!$B$2:$Z$51,MATCH(RankPoints!L$2&amp;RankPoints!$B13,Results!$P$2:$P$51,0),25),INDEX(Results!$B$2:$Z$51,MATCH(RankPoints!L$2&amp;RankPoints!$B13,Results!$O$2:$O$51,0),24))),L13,IF(ISERROR(INDEX(Results!$B$2:$Z$51,MATCH(RankPoints!L$2&amp;RankPoints!$B13,Results!$O$2:$O$51,0),24)),INDEX(Results!$B$2:$Z$51,MATCH(RankPoints!L$2&amp;RankPoints!$B13,Results!$P$2:$P$51,0),25),INDEX(Results!$B$2:$Z$51,MATCH(RankPoints!L$2&amp;RankPoints!$B13,Results!$O$2:$O$51,0),24)))</f>
        <v>1667</v>
      </c>
    </row>
    <row r="15" spans="2:12" s="193" customFormat="1" ht="12.75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</row>
    <row r="16" spans="2:12" s="193" customFormat="1" ht="12.75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2:12" s="193" customFormat="1" ht="12.75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2:12" s="193" customFormat="1" ht="12.75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2:12" s="193" customFormat="1" ht="12.7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2:12" s="193" customFormat="1" ht="12.75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2:12" s="193" customFormat="1" ht="12.75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2:12" s="193" customFormat="1" ht="12.7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</row>
    <row r="23" spans="2:12" s="193" customFormat="1" ht="12.7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2:12" s="193" customFormat="1" ht="12.7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s="193" customFormat="1" ht="12.7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2:12" s="193" customFormat="1" ht="12.7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</row>
    <row r="27" spans="2:12" s="193" customFormat="1" ht="12.7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2:12" s="193" customFormat="1" ht="12.75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2:12" s="193" customFormat="1" ht="12.75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2:12" s="193" customFormat="1" ht="12.7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</row>
    <row r="31" spans="2:12" s="193" customFormat="1" ht="12.75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</row>
    <row r="32" spans="2:12" s="193" customFormat="1" ht="12.7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2:12" s="193" customFormat="1" ht="12.75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</row>
    <row r="34" spans="2:12" s="193" customFormat="1" ht="12.75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2:12" s="193" customFormat="1" ht="12.75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2:12" s="193" customFormat="1" ht="12.75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</row>
    <row r="37" spans="2:12" s="193" customFormat="1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2:12" s="193" customFormat="1" ht="12.75"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2:12" s="193" customFormat="1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</row>
    <row r="40" spans="2:12" s="193" customFormat="1" ht="12.75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</row>
    <row r="41" spans="2:12" s="193" customFormat="1" ht="12.75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</row>
    <row r="42" spans="2:12" s="193" customFormat="1" ht="12.75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  <row r="43" spans="2:12" s="193" customFormat="1" ht="12.75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Kayos</dc:creator>
  <cp:keywords/>
  <dc:description/>
  <cp:lastModifiedBy>benjamin_watson</cp:lastModifiedBy>
  <dcterms:created xsi:type="dcterms:W3CDTF">2010-12-02T18:13:32Z</dcterms:created>
  <dcterms:modified xsi:type="dcterms:W3CDTF">2011-02-07T11:56:39Z</dcterms:modified>
  <cp:category/>
  <cp:version/>
  <cp:contentType/>
  <cp:contentStatus/>
</cp:coreProperties>
</file>